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EstaPasta_de_trabalho" hidePivotFieldList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hospitalsiriolibanes.sharepoint.com/sites/Cincia/Documentos Compartilhados/ANS/Execução/1. RAC (45)/1.1_RAC (45)/RAC_16_UAT 157 - Pirtobrutinibe para linfoma células manto recidivante refratário tratados com pelo menos 2 sistêmicas prévias incluindo iBTK/"/>
    </mc:Choice>
  </mc:AlternateContent>
  <xr:revisionPtr revIDLastSave="107" documentId="13_ncr:1_{4EEB5644-DF25-4D07-A1C3-29310BD02E0D}" xr6:coauthVersionLast="47" xr6:coauthVersionMax="47" xr10:uidLastSave="{0A0F4316-B2E3-491F-9ACB-E85586DEA590}"/>
  <bookViews>
    <workbookView xWindow="-108" yWindow="-108" windowWidth="23256" windowHeight="12456" tabRatio="696" firstSheet="2" activeTab="9" xr2:uid="{00000000-000D-0000-FFFF-FFFF00000000}"/>
  </bookViews>
  <sheets>
    <sheet name="Introdução" sheetId="20" r:id="rId1"/>
    <sheet name="Criterios" sheetId="7" r:id="rId2"/>
    <sheet name="Populacao" sheetId="2" r:id="rId3"/>
    <sheet name="Market Share" sheetId="3" r:id="rId4"/>
    <sheet name="Custos" sheetId="4" r:id="rId5"/>
    <sheet name="Cenarios" sheetId="17" r:id="rId6"/>
    <sheet name="Resumo" sheetId="19" r:id="rId7"/>
    <sheet name="Gráfico1" sheetId="21" r:id="rId8"/>
    <sheet name="Planilha auxiliar custos" sheetId="22" r:id="rId9"/>
    <sheet name="custo por semana" sheetId="24" r:id="rId10"/>
    <sheet name="pop_saúde_suplementar" sheetId="10" r:id="rId11"/>
    <sheet name="controle_formulario" sheetId="9" r:id="rId12"/>
    <sheet name="Base AIO" sheetId="23" r:id="rId13"/>
    <sheet name="Planilha2" sheetId="26" r:id="rId14"/>
  </sheets>
  <definedNames>
    <definedName name="c.total.a" localSheetId="8">'Planilha auxiliar custos'!#REF!</definedName>
    <definedName name="c.total.a">Custos!$F$67</definedName>
    <definedName name="c.total.b" localSheetId="8">'Planilha auxiliar custos'!$O$92</definedName>
    <definedName name="c.total.b">Custos!$G$67</definedName>
    <definedName name="c.total.c" localSheetId="8">'Planilha auxiliar custos'!#REF!</definedName>
    <definedName name="c.total.c">Custos!$H$67</definedName>
    <definedName name="c.total.d" localSheetId="8">'Planilha auxiliar custos'!#REF!</definedName>
    <definedName name="c.total.d">Custos!$I$67</definedName>
    <definedName name="c.total.nova" localSheetId="8">'Planilha auxiliar custos'!$F$92</definedName>
    <definedName name="c.total.nova">Custos!$E$67</definedName>
    <definedName name="cen.alt1">Criterios!$C$19</definedName>
    <definedName name="cen.alt10">Criterios!$C$28</definedName>
    <definedName name="cen.alt2">Criterios!$C$20</definedName>
    <definedName name="cen.alt3">Criterios!$C$21</definedName>
    <definedName name="cen.alt4">Criterios!$C$22</definedName>
    <definedName name="cen.alt5">Criterios!$C$23</definedName>
    <definedName name="cen.alt6">Criterios!$C$24</definedName>
    <definedName name="cen.alt7">Criterios!$C$25</definedName>
    <definedName name="cen.alt8">Criterios!$C$26</definedName>
    <definedName name="cen.alt9">Criterios!$C$27</definedName>
    <definedName name="cen.ref">Criterios!$C$15</definedName>
    <definedName name="OcultarRange">Populacao!A1048575:A198</definedName>
    <definedName name="trat.a">Criterios!$C$9</definedName>
    <definedName name="trat.b">Criterios!$C$10</definedName>
    <definedName name="trat.c">Criterios!$C$11</definedName>
    <definedName name="trat.d">Criterios!$C$12</definedName>
    <definedName name="trat.novo">Criterios!$C$5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4" l="1"/>
  <c r="E28" i="24" s="1"/>
  <c r="E27" i="24" l="1"/>
  <c r="E16" i="24"/>
  <c r="E19" i="24"/>
  <c r="E22" i="24"/>
  <c r="E7" i="24"/>
  <c r="E10" i="24"/>
  <c r="E13" i="24"/>
  <c r="E25" i="24"/>
  <c r="E15" i="24"/>
  <c r="E24" i="24"/>
  <c r="J6" i="24" l="1"/>
  <c r="J9" i="24" s="1"/>
  <c r="I6" i="24"/>
  <c r="I9" i="24" s="1"/>
  <c r="H6" i="24"/>
  <c r="H12" i="24" s="1"/>
  <c r="G9" i="24"/>
  <c r="G25" i="24" s="1"/>
  <c r="F6" i="24"/>
  <c r="F27" i="24" s="1"/>
  <c r="E18" i="24"/>
  <c r="E12" i="24"/>
  <c r="E9" i="24"/>
  <c r="R50" i="22"/>
  <c r="R52" i="22"/>
  <c r="R53" i="22"/>
  <c r="R54" i="22"/>
  <c r="Q50" i="22"/>
  <c r="Q52" i="22"/>
  <c r="Q53" i="22"/>
  <c r="Q54" i="22"/>
  <c r="P51" i="22"/>
  <c r="Q51" i="22" s="1"/>
  <c r="R51" i="22" s="1"/>
  <c r="P52" i="22"/>
  <c r="P53" i="22"/>
  <c r="P54" i="22"/>
  <c r="P50" i="22"/>
  <c r="P49" i="22"/>
  <c r="Q49" i="22" s="1"/>
  <c r="R49" i="22" s="1"/>
  <c r="O54" i="22"/>
  <c r="O53" i="22"/>
  <c r="O52" i="22"/>
  <c r="O51" i="22"/>
  <c r="O50" i="22"/>
  <c r="O49" i="22"/>
  <c r="K54" i="22"/>
  <c r="K53" i="22"/>
  <c r="K52" i="22"/>
  <c r="K51" i="22"/>
  <c r="K50" i="22"/>
  <c r="K49" i="22"/>
  <c r="J50" i="22"/>
  <c r="J51" i="22"/>
  <c r="J52" i="22"/>
  <c r="J53" i="22"/>
  <c r="J54" i="22"/>
  <c r="J49" i="22"/>
  <c r="J48" i="22"/>
  <c r="R47" i="22"/>
  <c r="Q47" i="22"/>
  <c r="K48" i="22"/>
  <c r="P48" i="22" s="1"/>
  <c r="Q48" i="22" s="1"/>
  <c r="R48" i="22" s="1"/>
  <c r="D6" i="24" s="1"/>
  <c r="O48" i="22"/>
  <c r="M47" i="22"/>
  <c r="P47" i="22" s="1"/>
  <c r="J12" i="24" l="1"/>
  <c r="J21" i="24"/>
  <c r="J24" i="24"/>
  <c r="J15" i="24"/>
  <c r="J18" i="24"/>
  <c r="D27" i="24"/>
  <c r="D24" i="24"/>
  <c r="D21" i="24"/>
  <c r="D18" i="24"/>
  <c r="D15" i="24"/>
  <c r="D12" i="24"/>
  <c r="D9" i="24"/>
  <c r="J27" i="24"/>
  <c r="I12" i="24"/>
  <c r="H15" i="24"/>
  <c r="I24" i="24"/>
  <c r="I5" i="24" s="1"/>
  <c r="I27" i="24"/>
  <c r="I15" i="24"/>
  <c r="I18" i="24"/>
  <c r="H18" i="24"/>
  <c r="I21" i="24"/>
  <c r="H21" i="24"/>
  <c r="H24" i="24"/>
  <c r="H27" i="24"/>
  <c r="F21" i="24"/>
  <c r="F24" i="24"/>
  <c r="H9" i="24"/>
  <c r="G21" i="24"/>
  <c r="F9" i="24"/>
  <c r="G13" i="24"/>
  <c r="F12" i="24"/>
  <c r="G17" i="24"/>
  <c r="E21" i="24"/>
  <c r="F15" i="24"/>
  <c r="F18" i="24"/>
  <c r="J5" i="24" l="1"/>
  <c r="H5" i="24"/>
  <c r="F5" i="24"/>
  <c r="D5" i="24"/>
  <c r="G5" i="24"/>
  <c r="C28" i="24" l="1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E55" i="19"/>
  <c r="C5" i="24" l="1"/>
  <c r="D39" i="19"/>
  <c r="H184" i="10"/>
  <c r="E41" i="9"/>
  <c r="AC14" i="2"/>
  <c r="AC16" i="2" s="1"/>
  <c r="C184" i="10"/>
  <c r="D184" i="10"/>
  <c r="F184" i="10"/>
  <c r="C185" i="10"/>
  <c r="D185" i="10"/>
  <c r="F185" i="10"/>
  <c r="C186" i="10"/>
  <c r="D186" i="10"/>
  <c r="F186" i="10"/>
  <c r="C187" i="10"/>
  <c r="D187" i="10"/>
  <c r="F187" i="10"/>
  <c r="C188" i="10"/>
  <c r="D188" i="10"/>
  <c r="F188" i="10"/>
  <c r="C189" i="10"/>
  <c r="D189" i="10"/>
  <c r="F189" i="10"/>
  <c r="C190" i="10"/>
  <c r="D190" i="10"/>
  <c r="F190" i="10"/>
  <c r="C191" i="10"/>
  <c r="D191" i="10"/>
  <c r="F191" i="10"/>
  <c r="C192" i="10"/>
  <c r="D192" i="10"/>
  <c r="F192" i="10"/>
  <c r="C193" i="10"/>
  <c r="D193" i="10"/>
  <c r="F193" i="10"/>
  <c r="C194" i="10"/>
  <c r="D194" i="10"/>
  <c r="F194" i="10"/>
  <c r="C195" i="10"/>
  <c r="D195" i="10"/>
  <c r="F195" i="10"/>
  <c r="C196" i="10"/>
  <c r="D196" i="10"/>
  <c r="F196" i="10"/>
  <c r="C197" i="10"/>
  <c r="D197" i="10"/>
  <c r="F197" i="10"/>
  <c r="C198" i="10"/>
  <c r="D198" i="10"/>
  <c r="F198" i="10"/>
  <c r="C199" i="10"/>
  <c r="D199" i="10"/>
  <c r="F199" i="10"/>
  <c r="C200" i="10"/>
  <c r="D200" i="10"/>
  <c r="F200" i="10"/>
  <c r="C201" i="10"/>
  <c r="D201" i="10"/>
  <c r="F201" i="10"/>
  <c r="C202" i="10"/>
  <c r="D202" i="10"/>
  <c r="F202" i="10"/>
  <c r="C203" i="10"/>
  <c r="D203" i="10"/>
  <c r="F203" i="10"/>
  <c r="C204" i="10"/>
  <c r="D204" i="10"/>
  <c r="F204" i="10"/>
  <c r="C205" i="10"/>
  <c r="D205" i="10"/>
  <c r="F205" i="10"/>
  <c r="C206" i="10"/>
  <c r="D206" i="10"/>
  <c r="F206" i="10"/>
  <c r="C207" i="10"/>
  <c r="D207" i="10"/>
  <c r="F207" i="10"/>
  <c r="C208" i="10"/>
  <c r="D208" i="10"/>
  <c r="F208" i="10"/>
  <c r="C209" i="10"/>
  <c r="D209" i="10"/>
  <c r="F209" i="10"/>
  <c r="C210" i="10"/>
  <c r="D210" i="10"/>
  <c r="F210" i="10"/>
  <c r="C211" i="10"/>
  <c r="D211" i="10"/>
  <c r="F211" i="10"/>
  <c r="C212" i="10"/>
  <c r="D212" i="10"/>
  <c r="F212" i="10"/>
  <c r="C213" i="10"/>
  <c r="D213" i="10"/>
  <c r="F213" i="10"/>
  <c r="C214" i="10"/>
  <c r="D214" i="10"/>
  <c r="F214" i="10"/>
  <c r="C215" i="10"/>
  <c r="D215" i="10"/>
  <c r="F215" i="10"/>
  <c r="C216" i="10"/>
  <c r="D216" i="10"/>
  <c r="F216" i="10"/>
  <c r="C217" i="10"/>
  <c r="D217" i="10"/>
  <c r="F217" i="10"/>
  <c r="C218" i="10"/>
  <c r="D218" i="10"/>
  <c r="F218" i="10"/>
  <c r="C219" i="10"/>
  <c r="D219" i="10"/>
  <c r="F219" i="10"/>
  <c r="C220" i="10"/>
  <c r="D220" i="10"/>
  <c r="F220" i="10"/>
  <c r="C221" i="10"/>
  <c r="D221" i="10"/>
  <c r="F221" i="10"/>
  <c r="C222" i="10"/>
  <c r="D222" i="10"/>
  <c r="F222" i="10"/>
  <c r="C223" i="10"/>
  <c r="D223" i="10"/>
  <c r="F223" i="10"/>
  <c r="C224" i="10"/>
  <c r="D224" i="10"/>
  <c r="F224" i="10"/>
  <c r="C225" i="10"/>
  <c r="D225" i="10"/>
  <c r="F225" i="10"/>
  <c r="C226" i="10"/>
  <c r="D226" i="10"/>
  <c r="F226" i="10"/>
  <c r="C227" i="10"/>
  <c r="D227" i="10"/>
  <c r="F227" i="10"/>
  <c r="C228" i="10"/>
  <c r="D228" i="10"/>
  <c r="F228" i="10"/>
  <c r="C229" i="10"/>
  <c r="D229" i="10"/>
  <c r="F229" i="10"/>
  <c r="C230" i="10"/>
  <c r="D230" i="10"/>
  <c r="F230" i="10"/>
  <c r="C231" i="10"/>
  <c r="D231" i="10"/>
  <c r="F231" i="10"/>
  <c r="C232" i="10"/>
  <c r="D232" i="10"/>
  <c r="F232" i="10"/>
  <c r="C233" i="10"/>
  <c r="D233" i="10"/>
  <c r="F233" i="10"/>
  <c r="C234" i="10"/>
  <c r="D234" i="10"/>
  <c r="F234" i="10"/>
  <c r="C235" i="10"/>
  <c r="D235" i="10"/>
  <c r="F235" i="10"/>
  <c r="C236" i="10"/>
  <c r="D236" i="10"/>
  <c r="F236" i="10"/>
  <c r="C237" i="10"/>
  <c r="D237" i="10"/>
  <c r="F237" i="10"/>
  <c r="C238" i="10"/>
  <c r="D238" i="10"/>
  <c r="F238" i="10"/>
  <c r="C239" i="10"/>
  <c r="D239" i="10"/>
  <c r="F239" i="10"/>
  <c r="C240" i="10"/>
  <c r="D240" i="10"/>
  <c r="F240" i="10"/>
  <c r="C241" i="10"/>
  <c r="D241" i="10"/>
  <c r="F241" i="10"/>
  <c r="C242" i="10"/>
  <c r="D242" i="10"/>
  <c r="F242" i="10"/>
  <c r="C243" i="10"/>
  <c r="D243" i="10"/>
  <c r="F243" i="10"/>
  <c r="C244" i="10"/>
  <c r="D244" i="10"/>
  <c r="F244" i="10"/>
  <c r="C245" i="10"/>
  <c r="D245" i="10"/>
  <c r="F245" i="10"/>
  <c r="C246" i="10"/>
  <c r="D246" i="10"/>
  <c r="F246" i="10"/>
  <c r="C247" i="10"/>
  <c r="D247" i="10"/>
  <c r="F247" i="10"/>
  <c r="C248" i="10"/>
  <c r="D248" i="10"/>
  <c r="F248" i="10"/>
  <c r="C249" i="10"/>
  <c r="D249" i="10"/>
  <c r="F249" i="10"/>
  <c r="C250" i="10"/>
  <c r="D250" i="10"/>
  <c r="F250" i="10"/>
  <c r="C251" i="10"/>
  <c r="D251" i="10"/>
  <c r="F251" i="10"/>
  <c r="C252" i="10"/>
  <c r="D252" i="10"/>
  <c r="F252" i="10"/>
  <c r="C253" i="10"/>
  <c r="D253" i="10"/>
  <c r="F253" i="10"/>
  <c r="C254" i="10"/>
  <c r="D254" i="10"/>
  <c r="F254" i="10"/>
  <c r="C255" i="10"/>
  <c r="D255" i="10"/>
  <c r="F255" i="10"/>
  <c r="C256" i="10"/>
  <c r="D256" i="10"/>
  <c r="F256" i="10"/>
  <c r="C257" i="10"/>
  <c r="D257" i="10"/>
  <c r="F257" i="10"/>
  <c r="C258" i="10"/>
  <c r="D258" i="10"/>
  <c r="F258" i="10"/>
  <c r="C259" i="10"/>
  <c r="D259" i="10"/>
  <c r="F259" i="10"/>
  <c r="C260" i="10"/>
  <c r="D260" i="10"/>
  <c r="F260" i="10"/>
  <c r="C261" i="10"/>
  <c r="D261" i="10"/>
  <c r="F261" i="10"/>
  <c r="C262" i="10"/>
  <c r="D262" i="10"/>
  <c r="F262" i="10"/>
  <c r="C263" i="10"/>
  <c r="D263" i="10"/>
  <c r="F263" i="10"/>
  <c r="C264" i="10"/>
  <c r="D264" i="10"/>
  <c r="F264" i="10"/>
  <c r="C265" i="10"/>
  <c r="D265" i="10"/>
  <c r="F265" i="10"/>
  <c r="C266" i="10"/>
  <c r="D266" i="10"/>
  <c r="F266" i="10"/>
  <c r="C267" i="10"/>
  <c r="D267" i="10"/>
  <c r="F267" i="10"/>
  <c r="C268" i="10"/>
  <c r="D268" i="10"/>
  <c r="F268" i="10"/>
  <c r="C269" i="10"/>
  <c r="D269" i="10"/>
  <c r="F269" i="10"/>
  <c r="C270" i="10"/>
  <c r="D270" i="10"/>
  <c r="F270" i="10"/>
  <c r="C271" i="10"/>
  <c r="D271" i="10"/>
  <c r="F271" i="10"/>
  <c r="C272" i="10"/>
  <c r="D272" i="10"/>
  <c r="F272" i="10"/>
  <c r="C273" i="10"/>
  <c r="D273" i="10"/>
  <c r="F273" i="10"/>
  <c r="C274" i="10"/>
  <c r="D274" i="10"/>
  <c r="F274" i="10"/>
  <c r="Q551" i="23"/>
  <c r="J551" i="23"/>
  <c r="Q550" i="23"/>
  <c r="J550" i="23"/>
  <c r="Q549" i="23"/>
  <c r="J549" i="23"/>
  <c r="Q548" i="23"/>
  <c r="J548" i="23"/>
  <c r="Q547" i="23"/>
  <c r="J547" i="23"/>
  <c r="Q546" i="23"/>
  <c r="J546" i="23"/>
  <c r="Q545" i="23"/>
  <c r="J545" i="23"/>
  <c r="Q544" i="23"/>
  <c r="J544" i="23"/>
  <c r="Q543" i="23"/>
  <c r="J543" i="23"/>
  <c r="Q542" i="23"/>
  <c r="N542" i="23"/>
  <c r="M542" i="23"/>
  <c r="J542" i="23"/>
  <c r="Q541" i="23"/>
  <c r="J541" i="23"/>
  <c r="Q540" i="23"/>
  <c r="J540" i="23"/>
  <c r="Q539" i="23"/>
  <c r="J539" i="23"/>
  <c r="Q538" i="23"/>
  <c r="J538" i="23"/>
  <c r="Q537" i="23"/>
  <c r="J537" i="23"/>
  <c r="Q536" i="23"/>
  <c r="J536" i="23"/>
  <c r="Q535" i="23"/>
  <c r="J535" i="23"/>
  <c r="Q534" i="23"/>
  <c r="J534" i="23"/>
  <c r="Q533" i="23"/>
  <c r="J533" i="23"/>
  <c r="Q532" i="23"/>
  <c r="N532" i="23"/>
  <c r="J532" i="23"/>
  <c r="Q531" i="23"/>
  <c r="J531" i="23"/>
  <c r="Q530" i="23"/>
  <c r="J530" i="23"/>
  <c r="Q529" i="23"/>
  <c r="J529" i="23"/>
  <c r="Q528" i="23"/>
  <c r="J528" i="23"/>
  <c r="Q527" i="23"/>
  <c r="J527" i="23"/>
  <c r="Q526" i="23"/>
  <c r="J526" i="23"/>
  <c r="Q525" i="23"/>
  <c r="J525" i="23"/>
  <c r="Q524" i="23"/>
  <c r="J524" i="23"/>
  <c r="Q523" i="23"/>
  <c r="J523" i="23"/>
  <c r="Q522" i="23"/>
  <c r="N522" i="23"/>
  <c r="J522" i="23"/>
  <c r="Q521" i="23"/>
  <c r="J521" i="23"/>
  <c r="Q520" i="23"/>
  <c r="J520" i="23"/>
  <c r="Q519" i="23"/>
  <c r="J519" i="23"/>
  <c r="Q518" i="23"/>
  <c r="J518" i="23"/>
  <c r="Q517" i="23"/>
  <c r="J517" i="23"/>
  <c r="Q516" i="23"/>
  <c r="J516" i="23"/>
  <c r="Q515" i="23"/>
  <c r="J515" i="23"/>
  <c r="Q514" i="23"/>
  <c r="J514" i="23"/>
  <c r="Q513" i="23"/>
  <c r="J513" i="23"/>
  <c r="Q512" i="23"/>
  <c r="N512" i="23"/>
  <c r="J512" i="23"/>
  <c r="Q511" i="23"/>
  <c r="J511" i="23"/>
  <c r="Q510" i="23"/>
  <c r="J510" i="23"/>
  <c r="Q509" i="23"/>
  <c r="J509" i="23"/>
  <c r="Q508" i="23"/>
  <c r="J508" i="23"/>
  <c r="Q507" i="23"/>
  <c r="J507" i="23"/>
  <c r="Q506" i="23"/>
  <c r="J506" i="23"/>
  <c r="Q505" i="23"/>
  <c r="J505" i="23"/>
  <c r="Q504" i="23"/>
  <c r="J504" i="23"/>
  <c r="Q503" i="23"/>
  <c r="J503" i="23"/>
  <c r="Q502" i="23"/>
  <c r="N502" i="23"/>
  <c r="J502" i="23"/>
  <c r="Q501" i="23"/>
  <c r="J501" i="23"/>
  <c r="Q500" i="23"/>
  <c r="J500" i="23"/>
  <c r="Q499" i="23"/>
  <c r="J499" i="23"/>
  <c r="Q498" i="23"/>
  <c r="J498" i="23"/>
  <c r="Q497" i="23"/>
  <c r="J497" i="23"/>
  <c r="Q496" i="23"/>
  <c r="J496" i="23"/>
  <c r="Q495" i="23"/>
  <c r="J495" i="23"/>
  <c r="Q494" i="23"/>
  <c r="J494" i="23"/>
  <c r="Q493" i="23"/>
  <c r="J493" i="23"/>
  <c r="Q492" i="23"/>
  <c r="N492" i="23"/>
  <c r="M492" i="23"/>
  <c r="M493" i="23" s="1"/>
  <c r="M494" i="23" s="1"/>
  <c r="M495" i="23" s="1"/>
  <c r="M496" i="23" s="1"/>
  <c r="M497" i="23" s="1"/>
  <c r="M498" i="23" s="1"/>
  <c r="M499" i="23" s="1"/>
  <c r="M500" i="23" s="1"/>
  <c r="M501" i="23" s="1"/>
  <c r="J492" i="23"/>
  <c r="Q491" i="23"/>
  <c r="J491" i="23"/>
  <c r="Q490" i="23"/>
  <c r="J490" i="23"/>
  <c r="Q489" i="23"/>
  <c r="J489" i="23"/>
  <c r="Q488" i="23"/>
  <c r="J488" i="23"/>
  <c r="Q487" i="23"/>
  <c r="J487" i="23"/>
  <c r="Q486" i="23"/>
  <c r="J486" i="23"/>
  <c r="Q485" i="23"/>
  <c r="J485" i="23"/>
  <c r="Q484" i="23"/>
  <c r="J484" i="23"/>
  <c r="Q483" i="23"/>
  <c r="J483" i="23"/>
  <c r="Q482" i="23"/>
  <c r="N482" i="23"/>
  <c r="J482" i="23"/>
  <c r="Q481" i="23"/>
  <c r="J481" i="23"/>
  <c r="Q480" i="23"/>
  <c r="J480" i="23"/>
  <c r="Q479" i="23"/>
  <c r="J479" i="23"/>
  <c r="Q478" i="23"/>
  <c r="J478" i="23"/>
  <c r="Q477" i="23"/>
  <c r="J477" i="23"/>
  <c r="Q476" i="23"/>
  <c r="J476" i="23"/>
  <c r="Q475" i="23"/>
  <c r="J475" i="23"/>
  <c r="Q474" i="23"/>
  <c r="J474" i="23"/>
  <c r="Q473" i="23"/>
  <c r="J473" i="23"/>
  <c r="Q472" i="23"/>
  <c r="N472" i="23"/>
  <c r="J472" i="23"/>
  <c r="Q471" i="23"/>
  <c r="J471" i="23"/>
  <c r="Q470" i="23"/>
  <c r="J470" i="23"/>
  <c r="Q469" i="23"/>
  <c r="J469" i="23"/>
  <c r="Q468" i="23"/>
  <c r="J468" i="23"/>
  <c r="Q467" i="23"/>
  <c r="J467" i="23"/>
  <c r="Q466" i="23"/>
  <c r="J466" i="23"/>
  <c r="Q465" i="23"/>
  <c r="J465" i="23"/>
  <c r="Q464" i="23"/>
  <c r="J464" i="23"/>
  <c r="Q463" i="23"/>
  <c r="J463" i="23"/>
  <c r="Q462" i="23"/>
  <c r="N462" i="23"/>
  <c r="J462" i="23"/>
  <c r="Q461" i="23"/>
  <c r="J461" i="23"/>
  <c r="Q460" i="23"/>
  <c r="J460" i="23"/>
  <c r="Q459" i="23"/>
  <c r="J459" i="23"/>
  <c r="Q458" i="23"/>
  <c r="J458" i="23"/>
  <c r="Q457" i="23"/>
  <c r="J457" i="23"/>
  <c r="Q456" i="23"/>
  <c r="J456" i="23"/>
  <c r="Q455" i="23"/>
  <c r="J455" i="23"/>
  <c r="Q454" i="23"/>
  <c r="J454" i="23"/>
  <c r="Q453" i="23"/>
  <c r="J453" i="23"/>
  <c r="Q452" i="23"/>
  <c r="N452" i="23"/>
  <c r="J452" i="23"/>
  <c r="Q451" i="23"/>
  <c r="J451" i="23"/>
  <c r="Q450" i="23"/>
  <c r="J450" i="23"/>
  <c r="Q449" i="23"/>
  <c r="J449" i="23"/>
  <c r="Q448" i="23"/>
  <c r="J448" i="23"/>
  <c r="Q447" i="23"/>
  <c r="J447" i="23"/>
  <c r="Q446" i="23"/>
  <c r="J446" i="23"/>
  <c r="Q445" i="23"/>
  <c r="J445" i="23"/>
  <c r="Q444" i="23"/>
  <c r="J444" i="23"/>
  <c r="Q443" i="23"/>
  <c r="J443" i="23"/>
  <c r="Q442" i="23"/>
  <c r="N442" i="23"/>
  <c r="M442" i="23"/>
  <c r="J442" i="23"/>
  <c r="Q441" i="23"/>
  <c r="J441" i="23"/>
  <c r="Q440" i="23"/>
  <c r="J440" i="23"/>
  <c r="Q439" i="23"/>
  <c r="J439" i="23"/>
  <c r="Q438" i="23"/>
  <c r="J438" i="23"/>
  <c r="Q437" i="23"/>
  <c r="J437" i="23"/>
  <c r="Q436" i="23"/>
  <c r="J436" i="23"/>
  <c r="Q435" i="23"/>
  <c r="J435" i="23"/>
  <c r="Q434" i="23"/>
  <c r="J434" i="23"/>
  <c r="Q433" i="23"/>
  <c r="J433" i="23"/>
  <c r="Q432" i="23"/>
  <c r="N432" i="23"/>
  <c r="J432" i="23"/>
  <c r="Q431" i="23"/>
  <c r="J431" i="23"/>
  <c r="Q430" i="23"/>
  <c r="J430" i="23"/>
  <c r="Q429" i="23"/>
  <c r="J429" i="23"/>
  <c r="Q428" i="23"/>
  <c r="J428" i="23"/>
  <c r="Q427" i="23"/>
  <c r="J427" i="23"/>
  <c r="Q426" i="23"/>
  <c r="J426" i="23"/>
  <c r="Q425" i="23"/>
  <c r="J425" i="23"/>
  <c r="Q424" i="23"/>
  <c r="J424" i="23"/>
  <c r="Q423" i="23"/>
  <c r="J423" i="23"/>
  <c r="Q422" i="23"/>
  <c r="N422" i="23"/>
  <c r="J422" i="23"/>
  <c r="Q421" i="23"/>
  <c r="J421" i="23"/>
  <c r="Q420" i="23"/>
  <c r="J420" i="23"/>
  <c r="Q419" i="23"/>
  <c r="J419" i="23"/>
  <c r="Q418" i="23"/>
  <c r="J418" i="23"/>
  <c r="Q417" i="23"/>
  <c r="J417" i="23"/>
  <c r="Q416" i="23"/>
  <c r="J416" i="23"/>
  <c r="Q415" i="23"/>
  <c r="J415" i="23"/>
  <c r="Q414" i="23"/>
  <c r="J414" i="23"/>
  <c r="Q413" i="23"/>
  <c r="J413" i="23"/>
  <c r="Q412" i="23"/>
  <c r="N412" i="23"/>
  <c r="J412" i="23"/>
  <c r="Q411" i="23"/>
  <c r="J411" i="23"/>
  <c r="Q410" i="23"/>
  <c r="J410" i="23"/>
  <c r="Q409" i="23"/>
  <c r="J409" i="23"/>
  <c r="Q408" i="23"/>
  <c r="J408" i="23"/>
  <c r="Q407" i="23"/>
  <c r="J407" i="23"/>
  <c r="Q406" i="23"/>
  <c r="J406" i="23"/>
  <c r="Q405" i="23"/>
  <c r="J405" i="23"/>
  <c r="Q404" i="23"/>
  <c r="J404" i="23"/>
  <c r="Q403" i="23"/>
  <c r="J403" i="23"/>
  <c r="Q402" i="23"/>
  <c r="N402" i="23"/>
  <c r="J402" i="23"/>
  <c r="Q401" i="23"/>
  <c r="J401" i="23"/>
  <c r="Q400" i="23"/>
  <c r="J400" i="23"/>
  <c r="Q399" i="23"/>
  <c r="J399" i="23"/>
  <c r="Q398" i="23"/>
  <c r="J398" i="23"/>
  <c r="Q397" i="23"/>
  <c r="J397" i="23"/>
  <c r="Q396" i="23"/>
  <c r="J396" i="23"/>
  <c r="Q395" i="23"/>
  <c r="J395" i="23"/>
  <c r="Q394" i="23"/>
  <c r="J394" i="23"/>
  <c r="Q393" i="23"/>
  <c r="J393" i="23"/>
  <c r="Q392" i="23"/>
  <c r="N392" i="23"/>
  <c r="M392" i="23"/>
  <c r="J392" i="23"/>
  <c r="Q391" i="23"/>
  <c r="J391" i="23"/>
  <c r="Q390" i="23"/>
  <c r="J390" i="23"/>
  <c r="Q389" i="23"/>
  <c r="J389" i="23"/>
  <c r="Q388" i="23"/>
  <c r="J388" i="23"/>
  <c r="Q387" i="23"/>
  <c r="J387" i="23"/>
  <c r="Q386" i="23"/>
  <c r="J386" i="23"/>
  <c r="Q385" i="23"/>
  <c r="J385" i="23"/>
  <c r="Q384" i="23"/>
  <c r="J384" i="23"/>
  <c r="Q383" i="23"/>
  <c r="J383" i="23"/>
  <c r="Q382" i="23"/>
  <c r="N382" i="23"/>
  <c r="J382" i="23"/>
  <c r="Q381" i="23"/>
  <c r="J381" i="23"/>
  <c r="Q380" i="23"/>
  <c r="J380" i="23"/>
  <c r="Q379" i="23"/>
  <c r="J379" i="23"/>
  <c r="Q378" i="23"/>
  <c r="J378" i="23"/>
  <c r="Q377" i="23"/>
  <c r="J377" i="23"/>
  <c r="Q376" i="23"/>
  <c r="J376" i="23"/>
  <c r="Q375" i="23"/>
  <c r="J375" i="23"/>
  <c r="Q374" i="23"/>
  <c r="J374" i="23"/>
  <c r="Q373" i="23"/>
  <c r="J373" i="23"/>
  <c r="Q372" i="23"/>
  <c r="N372" i="23"/>
  <c r="J372" i="23"/>
  <c r="Q371" i="23"/>
  <c r="J371" i="23"/>
  <c r="Q370" i="23"/>
  <c r="J370" i="23"/>
  <c r="Q369" i="23"/>
  <c r="J369" i="23"/>
  <c r="Q368" i="23"/>
  <c r="J368" i="23"/>
  <c r="Q367" i="23"/>
  <c r="J367" i="23"/>
  <c r="Q366" i="23"/>
  <c r="J366" i="23"/>
  <c r="Q365" i="23"/>
  <c r="J365" i="23"/>
  <c r="Q364" i="23"/>
  <c r="J364" i="23"/>
  <c r="Q363" i="23"/>
  <c r="J363" i="23"/>
  <c r="Q362" i="23"/>
  <c r="N362" i="23"/>
  <c r="N363" i="23"/>
  <c r="N364" i="23"/>
  <c r="N365" i="23"/>
  <c r="N366" i="23"/>
  <c r="N367" i="23"/>
  <c r="N368" i="23"/>
  <c r="N369" i="23"/>
  <c r="N370" i="23"/>
  <c r="N371" i="23"/>
  <c r="J362" i="23"/>
  <c r="Q361" i="23"/>
  <c r="J361" i="23"/>
  <c r="Q360" i="23"/>
  <c r="J360" i="23"/>
  <c r="Q359" i="23"/>
  <c r="J359" i="23"/>
  <c r="Q358" i="23"/>
  <c r="J358" i="23"/>
  <c r="Q357" i="23"/>
  <c r="J357" i="23"/>
  <c r="Q356" i="23"/>
  <c r="J356" i="23"/>
  <c r="Q355" i="23"/>
  <c r="J355" i="23"/>
  <c r="Q354" i="23"/>
  <c r="J354" i="23"/>
  <c r="Q353" i="23"/>
  <c r="J353" i="23"/>
  <c r="Q352" i="23"/>
  <c r="N352" i="23"/>
  <c r="J352" i="23"/>
  <c r="Q351" i="23"/>
  <c r="J351" i="23"/>
  <c r="Q350" i="23"/>
  <c r="J350" i="23"/>
  <c r="Q349" i="23"/>
  <c r="J349" i="23"/>
  <c r="Q348" i="23"/>
  <c r="J348" i="23"/>
  <c r="Q347" i="23"/>
  <c r="J347" i="23"/>
  <c r="Q346" i="23"/>
  <c r="J346" i="23"/>
  <c r="Q345" i="23"/>
  <c r="J345" i="23"/>
  <c r="Q344" i="23"/>
  <c r="J344" i="23"/>
  <c r="Q343" i="23"/>
  <c r="J343" i="23"/>
  <c r="Q342" i="23"/>
  <c r="N342" i="23"/>
  <c r="M342" i="23"/>
  <c r="M343" i="23" s="1"/>
  <c r="M344" i="23" s="1"/>
  <c r="M345" i="23" s="1"/>
  <c r="M346" i="23" s="1"/>
  <c r="M347" i="23" s="1"/>
  <c r="M348" i="23" s="1"/>
  <c r="M349" i="23" s="1"/>
  <c r="M350" i="23" s="1"/>
  <c r="M351" i="23" s="1"/>
  <c r="J342" i="23"/>
  <c r="Q341" i="23"/>
  <c r="J341" i="23"/>
  <c r="Q340" i="23"/>
  <c r="J340" i="23"/>
  <c r="Q339" i="23"/>
  <c r="J339" i="23"/>
  <c r="Q338" i="23"/>
  <c r="J338" i="23"/>
  <c r="Q337" i="23"/>
  <c r="J337" i="23"/>
  <c r="Q336" i="23"/>
  <c r="J336" i="23"/>
  <c r="Q335" i="23"/>
  <c r="J335" i="23"/>
  <c r="Q334" i="23"/>
  <c r="J334" i="23"/>
  <c r="Q333" i="23"/>
  <c r="J333" i="23"/>
  <c r="Q332" i="23"/>
  <c r="N332" i="23"/>
  <c r="J332" i="23"/>
  <c r="Q331" i="23"/>
  <c r="J331" i="23"/>
  <c r="Q330" i="23"/>
  <c r="J330" i="23"/>
  <c r="Q329" i="23"/>
  <c r="J329" i="23"/>
  <c r="Q328" i="23"/>
  <c r="J328" i="23"/>
  <c r="Q327" i="23"/>
  <c r="J327" i="23"/>
  <c r="Q326" i="23"/>
  <c r="J326" i="23"/>
  <c r="Q325" i="23"/>
  <c r="J325" i="23"/>
  <c r="Q324" i="23"/>
  <c r="J324" i="23"/>
  <c r="Q323" i="23"/>
  <c r="J323" i="23"/>
  <c r="Q322" i="23"/>
  <c r="N322" i="23"/>
  <c r="J322" i="23"/>
  <c r="Q321" i="23"/>
  <c r="J321" i="23"/>
  <c r="Q320" i="23"/>
  <c r="J320" i="23"/>
  <c r="Q319" i="23"/>
  <c r="J319" i="23"/>
  <c r="Q318" i="23"/>
  <c r="J318" i="23"/>
  <c r="Q317" i="23"/>
  <c r="J317" i="23"/>
  <c r="Q316" i="23"/>
  <c r="J316" i="23"/>
  <c r="Q315" i="23"/>
  <c r="J315" i="23"/>
  <c r="Q314" i="23"/>
  <c r="J314" i="23"/>
  <c r="Q313" i="23"/>
  <c r="J313" i="23"/>
  <c r="Q312" i="23"/>
  <c r="N312" i="23"/>
  <c r="J312" i="23"/>
  <c r="Q311" i="23"/>
  <c r="J311" i="23"/>
  <c r="Q310" i="23"/>
  <c r="J310" i="23"/>
  <c r="Q309" i="23"/>
  <c r="J309" i="23"/>
  <c r="Q308" i="23"/>
  <c r="J308" i="23"/>
  <c r="Q307" i="23"/>
  <c r="J307" i="23"/>
  <c r="Q306" i="23"/>
  <c r="J306" i="23"/>
  <c r="Q305" i="23"/>
  <c r="J305" i="23"/>
  <c r="Q304" i="23"/>
  <c r="J304" i="23"/>
  <c r="Q303" i="23"/>
  <c r="J303" i="23"/>
  <c r="Q302" i="23"/>
  <c r="N302" i="23"/>
  <c r="J302" i="23"/>
  <c r="Q301" i="23"/>
  <c r="J301" i="23"/>
  <c r="Q300" i="23"/>
  <c r="J300" i="23"/>
  <c r="Q299" i="23"/>
  <c r="J299" i="23"/>
  <c r="Q298" i="23"/>
  <c r="J298" i="23"/>
  <c r="Q297" i="23"/>
  <c r="J297" i="23"/>
  <c r="Q296" i="23"/>
  <c r="J296" i="23"/>
  <c r="Q295" i="23"/>
  <c r="J295" i="23"/>
  <c r="Q294" i="23"/>
  <c r="J294" i="23"/>
  <c r="Q293" i="23"/>
  <c r="J293" i="23"/>
  <c r="Q292" i="23"/>
  <c r="N292" i="23"/>
  <c r="M292" i="23"/>
  <c r="M293" i="23" s="1"/>
  <c r="M294" i="23" s="1"/>
  <c r="M295" i="23" s="1"/>
  <c r="M296" i="23" s="1"/>
  <c r="M297" i="23" s="1"/>
  <c r="M298" i="23" s="1"/>
  <c r="M299" i="23" s="1"/>
  <c r="M300" i="23" s="1"/>
  <c r="M301" i="23" s="1"/>
  <c r="J292" i="23"/>
  <c r="Q291" i="23"/>
  <c r="J291" i="23"/>
  <c r="Q290" i="23"/>
  <c r="J290" i="23"/>
  <c r="Q289" i="23"/>
  <c r="J289" i="23"/>
  <c r="Q288" i="23"/>
  <c r="J288" i="23"/>
  <c r="Q287" i="23"/>
  <c r="J287" i="23"/>
  <c r="Q286" i="23"/>
  <c r="J286" i="23"/>
  <c r="Q285" i="23"/>
  <c r="J285" i="23"/>
  <c r="Q284" i="23"/>
  <c r="J284" i="23"/>
  <c r="Q283" i="23"/>
  <c r="J283" i="23"/>
  <c r="Q282" i="23"/>
  <c r="N282" i="23"/>
  <c r="N283" i="23"/>
  <c r="N284" i="23"/>
  <c r="N285" i="23"/>
  <c r="N286" i="23"/>
  <c r="N287" i="23"/>
  <c r="N288" i="23"/>
  <c r="N289" i="23"/>
  <c r="N290" i="23"/>
  <c r="N291" i="23"/>
  <c r="J282" i="23"/>
  <c r="Q281" i="23"/>
  <c r="J281" i="23"/>
  <c r="Q280" i="23"/>
  <c r="J280" i="23"/>
  <c r="Q279" i="23"/>
  <c r="J279" i="23"/>
  <c r="Q278" i="23"/>
  <c r="J278" i="23"/>
  <c r="Q277" i="23"/>
  <c r="J277" i="23"/>
  <c r="Q276" i="23"/>
  <c r="J276" i="23"/>
  <c r="Q275" i="23"/>
  <c r="J275" i="23"/>
  <c r="Q274" i="23"/>
  <c r="J274" i="23"/>
  <c r="Q273" i="23"/>
  <c r="J273" i="23"/>
  <c r="Q272" i="23"/>
  <c r="N272" i="23"/>
  <c r="J272" i="23"/>
  <c r="Q271" i="23"/>
  <c r="J271" i="23"/>
  <c r="Q270" i="23"/>
  <c r="J270" i="23"/>
  <c r="Q269" i="23"/>
  <c r="J269" i="23"/>
  <c r="Q268" i="23"/>
  <c r="J268" i="23"/>
  <c r="Q267" i="23"/>
  <c r="J267" i="23"/>
  <c r="Q266" i="23"/>
  <c r="J266" i="23"/>
  <c r="Q265" i="23"/>
  <c r="J265" i="23"/>
  <c r="Q264" i="23"/>
  <c r="J264" i="23"/>
  <c r="Q263" i="23"/>
  <c r="J263" i="23"/>
  <c r="Q262" i="23"/>
  <c r="N262" i="23"/>
  <c r="J262" i="23"/>
  <c r="Q261" i="23"/>
  <c r="J261" i="23"/>
  <c r="Q260" i="23"/>
  <c r="J260" i="23"/>
  <c r="Q259" i="23"/>
  <c r="J259" i="23"/>
  <c r="Q258" i="23"/>
  <c r="J258" i="23"/>
  <c r="Q257" i="23"/>
  <c r="J257" i="23"/>
  <c r="Q256" i="23"/>
  <c r="J256" i="23"/>
  <c r="Q255" i="23"/>
  <c r="J255" i="23"/>
  <c r="Q254" i="23"/>
  <c r="J254" i="23"/>
  <c r="Q253" i="23"/>
  <c r="J253" i="23"/>
  <c r="Q252" i="23"/>
  <c r="N252" i="23"/>
  <c r="J252" i="23"/>
  <c r="Q251" i="23"/>
  <c r="J251" i="23"/>
  <c r="Q250" i="23"/>
  <c r="J250" i="23"/>
  <c r="Q249" i="23"/>
  <c r="J249" i="23"/>
  <c r="Q248" i="23"/>
  <c r="J248" i="23"/>
  <c r="Q247" i="23"/>
  <c r="J247" i="23"/>
  <c r="Q246" i="23"/>
  <c r="J246" i="23"/>
  <c r="Q245" i="23"/>
  <c r="J245" i="23"/>
  <c r="Q244" i="23"/>
  <c r="J244" i="23"/>
  <c r="Q243" i="23"/>
  <c r="J243" i="23"/>
  <c r="Q242" i="23"/>
  <c r="N242" i="23"/>
  <c r="M242" i="23"/>
  <c r="J242" i="23"/>
  <c r="Q241" i="23"/>
  <c r="J241" i="23"/>
  <c r="Q240" i="23"/>
  <c r="J240" i="23"/>
  <c r="Q239" i="23"/>
  <c r="J239" i="23"/>
  <c r="Q238" i="23"/>
  <c r="J238" i="23"/>
  <c r="Q237" i="23"/>
  <c r="J237" i="23"/>
  <c r="Q236" i="23"/>
  <c r="J236" i="23"/>
  <c r="Q235" i="23"/>
  <c r="J235" i="23"/>
  <c r="Q234" i="23"/>
  <c r="J234" i="23"/>
  <c r="Q233" i="23"/>
  <c r="J233" i="23"/>
  <c r="Q232" i="23"/>
  <c r="N232" i="23"/>
  <c r="J232" i="23"/>
  <c r="Q231" i="23"/>
  <c r="J231" i="23"/>
  <c r="Q230" i="23"/>
  <c r="J230" i="23"/>
  <c r="Q229" i="23"/>
  <c r="J229" i="23"/>
  <c r="Q228" i="23"/>
  <c r="J228" i="23"/>
  <c r="Q227" i="23"/>
  <c r="J227" i="23"/>
  <c r="Q226" i="23"/>
  <c r="J226" i="23"/>
  <c r="Q225" i="23"/>
  <c r="J225" i="23"/>
  <c r="Q224" i="23"/>
  <c r="J224" i="23"/>
  <c r="Q223" i="23"/>
  <c r="J223" i="23"/>
  <c r="Q222" i="23"/>
  <c r="N222" i="23"/>
  <c r="J222" i="23"/>
  <c r="Q221" i="23"/>
  <c r="J221" i="23"/>
  <c r="Q220" i="23"/>
  <c r="J220" i="23"/>
  <c r="Q219" i="23"/>
  <c r="J219" i="23"/>
  <c r="Q218" i="23"/>
  <c r="J218" i="23"/>
  <c r="Q217" i="23"/>
  <c r="J217" i="23"/>
  <c r="Q216" i="23"/>
  <c r="J216" i="23"/>
  <c r="Q215" i="23"/>
  <c r="J215" i="23"/>
  <c r="Q214" i="23"/>
  <c r="J214" i="23"/>
  <c r="Q213" i="23"/>
  <c r="J213" i="23"/>
  <c r="Q212" i="23"/>
  <c r="N212" i="23"/>
  <c r="J212" i="23"/>
  <c r="Q211" i="23"/>
  <c r="J211" i="23"/>
  <c r="Q210" i="23"/>
  <c r="J210" i="23"/>
  <c r="Q209" i="23"/>
  <c r="J209" i="23"/>
  <c r="Q208" i="23"/>
  <c r="J208" i="23"/>
  <c r="Q207" i="23"/>
  <c r="J207" i="23"/>
  <c r="Q206" i="23"/>
  <c r="J206" i="23"/>
  <c r="Q205" i="23"/>
  <c r="J205" i="23"/>
  <c r="Q204" i="23"/>
  <c r="J204" i="23"/>
  <c r="Q203" i="23"/>
  <c r="J203" i="23"/>
  <c r="Q202" i="23"/>
  <c r="N202" i="23"/>
  <c r="N203" i="23"/>
  <c r="N204" i="23"/>
  <c r="N205" i="23"/>
  <c r="N206" i="23"/>
  <c r="N207" i="23"/>
  <c r="N208" i="23"/>
  <c r="N209" i="23"/>
  <c r="N210" i="23"/>
  <c r="N211" i="23"/>
  <c r="J202" i="23"/>
  <c r="Q201" i="23"/>
  <c r="J201" i="23"/>
  <c r="Q200" i="23"/>
  <c r="J200" i="23"/>
  <c r="Q199" i="23"/>
  <c r="J199" i="23"/>
  <c r="Q198" i="23"/>
  <c r="J198" i="23"/>
  <c r="Q197" i="23"/>
  <c r="J197" i="23"/>
  <c r="Q196" i="23"/>
  <c r="J196" i="23"/>
  <c r="Q195" i="23"/>
  <c r="J195" i="23"/>
  <c r="Q194" i="23"/>
  <c r="J194" i="23"/>
  <c r="Q193" i="23"/>
  <c r="J193" i="23"/>
  <c r="Q192" i="23"/>
  <c r="N192" i="23"/>
  <c r="M192" i="23"/>
  <c r="M193" i="23" s="1"/>
  <c r="M194" i="23" s="1"/>
  <c r="M195" i="23" s="1"/>
  <c r="M196" i="23" s="1"/>
  <c r="M197" i="23" s="1"/>
  <c r="M198" i="23" s="1"/>
  <c r="M199" i="23" s="1"/>
  <c r="M200" i="23" s="1"/>
  <c r="M201" i="23" s="1"/>
  <c r="J192" i="23"/>
  <c r="Q191" i="23"/>
  <c r="J191" i="23"/>
  <c r="Q190" i="23"/>
  <c r="J190" i="23"/>
  <c r="Q189" i="23"/>
  <c r="J189" i="23"/>
  <c r="Q188" i="23"/>
  <c r="J188" i="23"/>
  <c r="Q187" i="23"/>
  <c r="J187" i="23"/>
  <c r="Q186" i="23"/>
  <c r="J186" i="23"/>
  <c r="Q185" i="23"/>
  <c r="J185" i="23"/>
  <c r="Q184" i="23"/>
  <c r="J184" i="23"/>
  <c r="Q183" i="23"/>
  <c r="J183" i="23"/>
  <c r="Q182" i="23"/>
  <c r="N182" i="23"/>
  <c r="J182" i="23"/>
  <c r="Q181" i="23"/>
  <c r="J181" i="23"/>
  <c r="Q180" i="23"/>
  <c r="J180" i="23"/>
  <c r="Q179" i="23"/>
  <c r="J179" i="23"/>
  <c r="Q178" i="23"/>
  <c r="J178" i="23"/>
  <c r="Q177" i="23"/>
  <c r="J177" i="23"/>
  <c r="Q176" i="23"/>
  <c r="J176" i="23"/>
  <c r="Q175" i="23"/>
  <c r="J175" i="23"/>
  <c r="Q174" i="23"/>
  <c r="J174" i="23"/>
  <c r="Q173" i="23"/>
  <c r="J173" i="23"/>
  <c r="Q172" i="23"/>
  <c r="N172" i="23"/>
  <c r="J172" i="23"/>
  <c r="Q171" i="23"/>
  <c r="J171" i="23"/>
  <c r="Q170" i="23"/>
  <c r="J170" i="23"/>
  <c r="Q169" i="23"/>
  <c r="J169" i="23"/>
  <c r="Q168" i="23"/>
  <c r="J168" i="23"/>
  <c r="Q167" i="23"/>
  <c r="J167" i="23"/>
  <c r="Q166" i="23"/>
  <c r="J166" i="23"/>
  <c r="Q165" i="23"/>
  <c r="J165" i="23"/>
  <c r="Q164" i="23"/>
  <c r="J164" i="23"/>
  <c r="Q163" i="23"/>
  <c r="J163" i="23"/>
  <c r="Q162" i="23"/>
  <c r="N162" i="23"/>
  <c r="J162" i="23"/>
  <c r="Q161" i="23"/>
  <c r="J161" i="23"/>
  <c r="Q160" i="23"/>
  <c r="J160" i="23"/>
  <c r="Q159" i="23"/>
  <c r="J159" i="23"/>
  <c r="Q158" i="23"/>
  <c r="J158" i="23"/>
  <c r="Q157" i="23"/>
  <c r="J157" i="23"/>
  <c r="Q156" i="23"/>
  <c r="J156" i="23"/>
  <c r="Q155" i="23"/>
  <c r="J155" i="23"/>
  <c r="Q154" i="23"/>
  <c r="J154" i="23"/>
  <c r="Q153" i="23"/>
  <c r="J153" i="23"/>
  <c r="Q152" i="23"/>
  <c r="N152" i="23"/>
  <c r="J152" i="23"/>
  <c r="Q151" i="23"/>
  <c r="J151" i="23"/>
  <c r="Q150" i="23"/>
  <c r="J150" i="23"/>
  <c r="Q149" i="23"/>
  <c r="J149" i="23"/>
  <c r="Q148" i="23"/>
  <c r="J148" i="23"/>
  <c r="Q147" i="23"/>
  <c r="J147" i="23"/>
  <c r="Q146" i="23"/>
  <c r="J146" i="23"/>
  <c r="Q145" i="23"/>
  <c r="J145" i="23"/>
  <c r="Q144" i="23"/>
  <c r="J144" i="23"/>
  <c r="Q143" i="23"/>
  <c r="J143" i="23"/>
  <c r="Q142" i="23"/>
  <c r="N142" i="23"/>
  <c r="M142" i="23"/>
  <c r="M143" i="23" s="1"/>
  <c r="M144" i="23" s="1"/>
  <c r="M145" i="23" s="1"/>
  <c r="M146" i="23" s="1"/>
  <c r="M147" i="23" s="1"/>
  <c r="M148" i="23" s="1"/>
  <c r="M149" i="23" s="1"/>
  <c r="M150" i="23" s="1"/>
  <c r="M151" i="23" s="1"/>
  <c r="J142" i="23"/>
  <c r="Q141" i="23"/>
  <c r="J141" i="23"/>
  <c r="Q140" i="23"/>
  <c r="J140" i="23"/>
  <c r="Q139" i="23"/>
  <c r="J139" i="23"/>
  <c r="Q138" i="23"/>
  <c r="J138" i="23"/>
  <c r="Q137" i="23"/>
  <c r="J137" i="23"/>
  <c r="Q136" i="23"/>
  <c r="J136" i="23"/>
  <c r="Q135" i="23"/>
  <c r="J135" i="23"/>
  <c r="Q134" i="23"/>
  <c r="J134" i="23"/>
  <c r="Q133" i="23"/>
  <c r="J133" i="23"/>
  <c r="Q132" i="23"/>
  <c r="N132" i="23"/>
  <c r="J132" i="23"/>
  <c r="Q131" i="23"/>
  <c r="J131" i="23"/>
  <c r="Q130" i="23"/>
  <c r="J130" i="23"/>
  <c r="Q129" i="23"/>
  <c r="J129" i="23"/>
  <c r="Q128" i="23"/>
  <c r="J128" i="23"/>
  <c r="Q127" i="23"/>
  <c r="J127" i="23"/>
  <c r="Q126" i="23"/>
  <c r="J126" i="23"/>
  <c r="Q125" i="23"/>
  <c r="J125" i="23"/>
  <c r="Q124" i="23"/>
  <c r="J124" i="23"/>
  <c r="Q123" i="23"/>
  <c r="J123" i="23"/>
  <c r="Q122" i="23"/>
  <c r="N122" i="23"/>
  <c r="J122" i="23"/>
  <c r="Q121" i="23"/>
  <c r="J121" i="23"/>
  <c r="Q120" i="23"/>
  <c r="J120" i="23"/>
  <c r="Q119" i="23"/>
  <c r="J119" i="23"/>
  <c r="Q118" i="23"/>
  <c r="J118" i="23"/>
  <c r="Q117" i="23"/>
  <c r="J117" i="23"/>
  <c r="Q116" i="23"/>
  <c r="J116" i="23"/>
  <c r="Q115" i="23"/>
  <c r="J115" i="23"/>
  <c r="Q114" i="23"/>
  <c r="J114" i="23"/>
  <c r="Q113" i="23"/>
  <c r="J113" i="23"/>
  <c r="Q112" i="23"/>
  <c r="N112" i="23"/>
  <c r="J112" i="23"/>
  <c r="Q111" i="23"/>
  <c r="J111" i="23"/>
  <c r="Q110" i="23"/>
  <c r="J110" i="23"/>
  <c r="Q109" i="23"/>
  <c r="J109" i="23"/>
  <c r="Q108" i="23"/>
  <c r="J108" i="23"/>
  <c r="Q107" i="23"/>
  <c r="J107" i="23"/>
  <c r="Q106" i="23"/>
  <c r="J106" i="23"/>
  <c r="Q105" i="23"/>
  <c r="J105" i="23"/>
  <c r="Q104" i="23"/>
  <c r="J104" i="23"/>
  <c r="Q103" i="23"/>
  <c r="J103" i="23"/>
  <c r="Q102" i="23"/>
  <c r="N102" i="23"/>
  <c r="J102" i="23"/>
  <c r="Q101" i="23"/>
  <c r="J101" i="23"/>
  <c r="Q100" i="23"/>
  <c r="J100" i="23"/>
  <c r="Q99" i="23"/>
  <c r="J99" i="23"/>
  <c r="Q98" i="23"/>
  <c r="J98" i="23"/>
  <c r="Q97" i="23"/>
  <c r="J97" i="23"/>
  <c r="Q96" i="23"/>
  <c r="J96" i="23"/>
  <c r="Q95" i="23"/>
  <c r="J95" i="23"/>
  <c r="Q94" i="23"/>
  <c r="J94" i="23"/>
  <c r="Q93" i="23"/>
  <c r="J93" i="23"/>
  <c r="Q92" i="23"/>
  <c r="N92" i="23"/>
  <c r="M92" i="23"/>
  <c r="M93" i="23"/>
  <c r="M94" i="23"/>
  <c r="M95" i="23"/>
  <c r="M96" i="23"/>
  <c r="M97" i="23" s="1"/>
  <c r="M98" i="23" s="1"/>
  <c r="M99" i="23" s="1"/>
  <c r="M100" i="23" s="1"/>
  <c r="M101" i="23" s="1"/>
  <c r="J92" i="23"/>
  <c r="Q91" i="23"/>
  <c r="J91" i="23"/>
  <c r="Q90" i="23"/>
  <c r="J90" i="23"/>
  <c r="Q89" i="23"/>
  <c r="J89" i="23"/>
  <c r="Q88" i="23"/>
  <c r="J88" i="23"/>
  <c r="Q87" i="23"/>
  <c r="J87" i="23"/>
  <c r="Q86" i="23"/>
  <c r="J86" i="23"/>
  <c r="Q85" i="23"/>
  <c r="J85" i="23"/>
  <c r="Q84" i="23"/>
  <c r="J84" i="23"/>
  <c r="Q83" i="23"/>
  <c r="J83" i="23"/>
  <c r="Q82" i="23"/>
  <c r="N82" i="23"/>
  <c r="J82" i="23"/>
  <c r="Q81" i="23"/>
  <c r="J81" i="23"/>
  <c r="Q80" i="23"/>
  <c r="J80" i="23"/>
  <c r="Q79" i="23"/>
  <c r="J79" i="23"/>
  <c r="Q78" i="23"/>
  <c r="J78" i="23"/>
  <c r="Q77" i="23"/>
  <c r="J77" i="23"/>
  <c r="Q76" i="23"/>
  <c r="J76" i="23"/>
  <c r="Q75" i="23"/>
  <c r="J75" i="23"/>
  <c r="Q74" i="23"/>
  <c r="J74" i="23"/>
  <c r="Q73" i="23"/>
  <c r="J73" i="23"/>
  <c r="Q72" i="23"/>
  <c r="N72" i="23"/>
  <c r="J72" i="23"/>
  <c r="Q71" i="23"/>
  <c r="J71" i="23"/>
  <c r="Q70" i="23"/>
  <c r="J70" i="23"/>
  <c r="Q69" i="23"/>
  <c r="J69" i="23"/>
  <c r="Q68" i="23"/>
  <c r="J68" i="23"/>
  <c r="Q67" i="23"/>
  <c r="J67" i="23"/>
  <c r="Q66" i="23"/>
  <c r="J66" i="23"/>
  <c r="Q65" i="23"/>
  <c r="J65" i="23"/>
  <c r="Q64" i="23"/>
  <c r="J64" i="23"/>
  <c r="Q63" i="23"/>
  <c r="J63" i="23"/>
  <c r="Q62" i="23"/>
  <c r="N62" i="23"/>
  <c r="J62" i="23"/>
  <c r="Q61" i="23"/>
  <c r="J61" i="23"/>
  <c r="Q60" i="23"/>
  <c r="J60" i="23"/>
  <c r="Q59" i="23"/>
  <c r="J59" i="23"/>
  <c r="Q58" i="23"/>
  <c r="J58" i="23"/>
  <c r="Q57" i="23"/>
  <c r="J57" i="23"/>
  <c r="Q56" i="23"/>
  <c r="J56" i="23"/>
  <c r="Q55" i="23"/>
  <c r="J55" i="23"/>
  <c r="Q54" i="23"/>
  <c r="J54" i="23"/>
  <c r="Q53" i="23"/>
  <c r="J53" i="23"/>
  <c r="Q52" i="23"/>
  <c r="N52" i="23"/>
  <c r="J52" i="23"/>
  <c r="Q51" i="23"/>
  <c r="J51" i="23"/>
  <c r="Q50" i="23"/>
  <c r="J50" i="23"/>
  <c r="Q49" i="23"/>
  <c r="J49" i="23"/>
  <c r="Q48" i="23"/>
  <c r="J48" i="23"/>
  <c r="Q47" i="23"/>
  <c r="J47" i="23"/>
  <c r="Q46" i="23"/>
  <c r="J46" i="23"/>
  <c r="Q45" i="23"/>
  <c r="J45" i="23"/>
  <c r="Q44" i="23"/>
  <c r="J44" i="23"/>
  <c r="Q43" i="23"/>
  <c r="J43" i="23"/>
  <c r="Q42" i="23"/>
  <c r="N42" i="23"/>
  <c r="M42" i="23"/>
  <c r="J42" i="23"/>
  <c r="Q41" i="23"/>
  <c r="J41" i="23"/>
  <c r="Q40" i="23"/>
  <c r="J40" i="23"/>
  <c r="Q39" i="23"/>
  <c r="J39" i="23"/>
  <c r="Q38" i="23"/>
  <c r="J38" i="23"/>
  <c r="Q37" i="23"/>
  <c r="J37" i="23"/>
  <c r="Q36" i="23"/>
  <c r="J36" i="23"/>
  <c r="Q35" i="23"/>
  <c r="J35" i="23"/>
  <c r="Q34" i="23"/>
  <c r="J34" i="23"/>
  <c r="Q33" i="23"/>
  <c r="J33" i="23"/>
  <c r="Q32" i="23"/>
  <c r="N32" i="23"/>
  <c r="J32" i="23"/>
  <c r="Q31" i="23"/>
  <c r="J31" i="23"/>
  <c r="Q30" i="23"/>
  <c r="J30" i="23"/>
  <c r="Q29" i="23"/>
  <c r="J29" i="23"/>
  <c r="Q28" i="23"/>
  <c r="J28" i="23"/>
  <c r="Q27" i="23"/>
  <c r="J27" i="23"/>
  <c r="Q26" i="23"/>
  <c r="J26" i="23"/>
  <c r="Q25" i="23"/>
  <c r="J25" i="23"/>
  <c r="Q24" i="23"/>
  <c r="J24" i="23"/>
  <c r="Q23" i="23"/>
  <c r="J23" i="23"/>
  <c r="Q22" i="23"/>
  <c r="N22" i="23"/>
  <c r="J22" i="23"/>
  <c r="Q21" i="23"/>
  <c r="J21" i="23"/>
  <c r="Q20" i="23"/>
  <c r="J20" i="23"/>
  <c r="Q19" i="23"/>
  <c r="J19" i="23"/>
  <c r="Q18" i="23"/>
  <c r="J18" i="23"/>
  <c r="Q17" i="23"/>
  <c r="J17" i="23"/>
  <c r="Q16" i="23"/>
  <c r="J16" i="23"/>
  <c r="Q15" i="23"/>
  <c r="J15" i="23"/>
  <c r="Q14" i="23"/>
  <c r="J14" i="23"/>
  <c r="Q13" i="23"/>
  <c r="J13" i="23"/>
  <c r="Q12" i="23"/>
  <c r="N12" i="23"/>
  <c r="J12" i="23"/>
  <c r="Q11" i="23"/>
  <c r="J11" i="23"/>
  <c r="Q10" i="23"/>
  <c r="J10" i="23"/>
  <c r="Q9" i="23"/>
  <c r="J9" i="23"/>
  <c r="Q8" i="23"/>
  <c r="J8" i="23"/>
  <c r="Q7" i="23"/>
  <c r="J7" i="23"/>
  <c r="Q6" i="23"/>
  <c r="J6" i="23"/>
  <c r="Q5" i="23"/>
  <c r="J5" i="23"/>
  <c r="Q4" i="23"/>
  <c r="J4" i="23"/>
  <c r="Q3" i="23"/>
  <c r="J3" i="23"/>
  <c r="Q2" i="23"/>
  <c r="N2" i="23"/>
  <c r="J2" i="23"/>
  <c r="H2" i="23"/>
  <c r="A2" i="23" s="1"/>
  <c r="P551" i="23"/>
  <c r="L551" i="23"/>
  <c r="F551" i="23"/>
  <c r="E551" i="23"/>
  <c r="C551" i="23"/>
  <c r="B551" i="23"/>
  <c r="P550" i="23"/>
  <c r="L550" i="23"/>
  <c r="F550" i="23"/>
  <c r="E550" i="23"/>
  <c r="C550" i="23"/>
  <c r="B550" i="23"/>
  <c r="P549" i="23"/>
  <c r="L549" i="23"/>
  <c r="F549" i="23"/>
  <c r="E549" i="23"/>
  <c r="C549" i="23"/>
  <c r="B549" i="23"/>
  <c r="P548" i="23"/>
  <c r="L548" i="23"/>
  <c r="F548" i="23"/>
  <c r="E548" i="23"/>
  <c r="C548" i="23"/>
  <c r="B548" i="23"/>
  <c r="P547" i="23"/>
  <c r="L547" i="23"/>
  <c r="F547" i="23"/>
  <c r="E547" i="23"/>
  <c r="C547" i="23"/>
  <c r="B547" i="23"/>
  <c r="P546" i="23"/>
  <c r="L546" i="23"/>
  <c r="F546" i="23"/>
  <c r="E546" i="23"/>
  <c r="C546" i="23"/>
  <c r="B546" i="23"/>
  <c r="P545" i="23"/>
  <c r="L545" i="23"/>
  <c r="F545" i="23"/>
  <c r="E545" i="23"/>
  <c r="C545" i="23"/>
  <c r="B545" i="23"/>
  <c r="P544" i="23"/>
  <c r="L544" i="23"/>
  <c r="F544" i="23"/>
  <c r="E544" i="23"/>
  <c r="C544" i="23"/>
  <c r="B544" i="23"/>
  <c r="P543" i="23"/>
  <c r="N543" i="23"/>
  <c r="N544" i="23"/>
  <c r="N545" i="23"/>
  <c r="N546" i="23"/>
  <c r="N547" i="23"/>
  <c r="N548" i="23"/>
  <c r="N549" i="23"/>
  <c r="N550" i="23"/>
  <c r="N551" i="23"/>
  <c r="L543" i="23"/>
  <c r="F543" i="23"/>
  <c r="E543" i="23"/>
  <c r="C543" i="23"/>
  <c r="B543" i="23"/>
  <c r="P542" i="23"/>
  <c r="M543" i="23"/>
  <c r="M544" i="23" s="1"/>
  <c r="M545" i="23" s="1"/>
  <c r="M546" i="23" s="1"/>
  <c r="M547" i="23" s="1"/>
  <c r="M548" i="23" s="1"/>
  <c r="M549" i="23" s="1"/>
  <c r="M550" i="23" s="1"/>
  <c r="M551" i="23" s="1"/>
  <c r="L542" i="23"/>
  <c r="F542" i="23"/>
  <c r="E542" i="23"/>
  <c r="C542" i="23"/>
  <c r="B542" i="23"/>
  <c r="P541" i="23"/>
  <c r="L541" i="23"/>
  <c r="F541" i="23"/>
  <c r="E541" i="23"/>
  <c r="C541" i="23"/>
  <c r="B541" i="23"/>
  <c r="P540" i="23"/>
  <c r="L540" i="23"/>
  <c r="F540" i="23"/>
  <c r="E540" i="23"/>
  <c r="C540" i="23"/>
  <c r="B540" i="23"/>
  <c r="P539" i="23"/>
  <c r="L539" i="23"/>
  <c r="F539" i="23"/>
  <c r="E539" i="23"/>
  <c r="C539" i="23"/>
  <c r="B539" i="23"/>
  <c r="P538" i="23"/>
  <c r="L538" i="23"/>
  <c r="F538" i="23"/>
  <c r="E538" i="23"/>
  <c r="C538" i="23"/>
  <c r="B538" i="23"/>
  <c r="P537" i="23"/>
  <c r="L537" i="23"/>
  <c r="F537" i="23"/>
  <c r="E537" i="23"/>
  <c r="C537" i="23"/>
  <c r="B537" i="23"/>
  <c r="P536" i="23"/>
  <c r="L536" i="23"/>
  <c r="F536" i="23"/>
  <c r="E536" i="23"/>
  <c r="C536" i="23"/>
  <c r="B536" i="23"/>
  <c r="P535" i="23"/>
  <c r="L535" i="23"/>
  <c r="F535" i="23"/>
  <c r="E535" i="23"/>
  <c r="C535" i="23"/>
  <c r="B535" i="23"/>
  <c r="P534" i="23"/>
  <c r="L534" i="23"/>
  <c r="F534" i="23"/>
  <c r="E534" i="23"/>
  <c r="C534" i="23"/>
  <c r="B534" i="23"/>
  <c r="P533" i="23"/>
  <c r="L533" i="23"/>
  <c r="F533" i="23"/>
  <c r="E533" i="23"/>
  <c r="C533" i="23"/>
  <c r="B533" i="23"/>
  <c r="P532" i="23"/>
  <c r="N533" i="23"/>
  <c r="N534" i="23"/>
  <c r="N535" i="23"/>
  <c r="N536" i="23"/>
  <c r="N537" i="23"/>
  <c r="N538" i="23"/>
  <c r="N539" i="23"/>
  <c r="N540" i="23"/>
  <c r="N541" i="23"/>
  <c r="L532" i="23"/>
  <c r="F532" i="23"/>
  <c r="E532" i="23"/>
  <c r="C532" i="23"/>
  <c r="B532" i="23"/>
  <c r="P531" i="23"/>
  <c r="L531" i="23"/>
  <c r="F531" i="23"/>
  <c r="E531" i="23"/>
  <c r="C531" i="23"/>
  <c r="B531" i="23"/>
  <c r="P530" i="23"/>
  <c r="L530" i="23"/>
  <c r="F530" i="23"/>
  <c r="E530" i="23"/>
  <c r="C530" i="23"/>
  <c r="B530" i="23"/>
  <c r="P529" i="23"/>
  <c r="L529" i="23"/>
  <c r="F529" i="23"/>
  <c r="E529" i="23"/>
  <c r="C529" i="23"/>
  <c r="B529" i="23"/>
  <c r="P528" i="23"/>
  <c r="L528" i="23"/>
  <c r="F528" i="23"/>
  <c r="E528" i="23"/>
  <c r="C528" i="23"/>
  <c r="B528" i="23"/>
  <c r="P527" i="23"/>
  <c r="L527" i="23"/>
  <c r="F527" i="23"/>
  <c r="E527" i="23"/>
  <c r="C527" i="23"/>
  <c r="B527" i="23"/>
  <c r="P526" i="23"/>
  <c r="L526" i="23"/>
  <c r="F526" i="23"/>
  <c r="E526" i="23"/>
  <c r="C526" i="23"/>
  <c r="B526" i="23"/>
  <c r="P525" i="23"/>
  <c r="L525" i="23"/>
  <c r="F525" i="23"/>
  <c r="E525" i="23"/>
  <c r="C525" i="23"/>
  <c r="B525" i="23"/>
  <c r="P524" i="23"/>
  <c r="L524" i="23"/>
  <c r="F524" i="23"/>
  <c r="E524" i="23"/>
  <c r="C524" i="23"/>
  <c r="B524" i="23"/>
  <c r="P523" i="23"/>
  <c r="L523" i="23"/>
  <c r="F523" i="23"/>
  <c r="E523" i="23"/>
  <c r="C523" i="23"/>
  <c r="B523" i="23"/>
  <c r="P522" i="23"/>
  <c r="N523" i="23"/>
  <c r="N524" i="23"/>
  <c r="N525" i="23"/>
  <c r="N526" i="23"/>
  <c r="N527" i="23"/>
  <c r="N528" i="23"/>
  <c r="N529" i="23"/>
  <c r="N530" i="23"/>
  <c r="N531" i="23"/>
  <c r="L522" i="23"/>
  <c r="F522" i="23"/>
  <c r="E522" i="23"/>
  <c r="C522" i="23"/>
  <c r="B522" i="23"/>
  <c r="P521" i="23"/>
  <c r="L521" i="23"/>
  <c r="F521" i="23"/>
  <c r="E521" i="23"/>
  <c r="C521" i="23"/>
  <c r="B521" i="23"/>
  <c r="P520" i="23"/>
  <c r="L520" i="23"/>
  <c r="F520" i="23"/>
  <c r="E520" i="23"/>
  <c r="C520" i="23"/>
  <c r="B520" i="23"/>
  <c r="P519" i="23"/>
  <c r="L519" i="23"/>
  <c r="F519" i="23"/>
  <c r="E519" i="23"/>
  <c r="C519" i="23"/>
  <c r="B519" i="23"/>
  <c r="P518" i="23"/>
  <c r="L518" i="23"/>
  <c r="F518" i="23"/>
  <c r="E518" i="23"/>
  <c r="C518" i="23"/>
  <c r="B518" i="23"/>
  <c r="P517" i="23"/>
  <c r="L517" i="23"/>
  <c r="F517" i="23"/>
  <c r="E517" i="23"/>
  <c r="C517" i="23"/>
  <c r="B517" i="23"/>
  <c r="P516" i="23"/>
  <c r="L516" i="23"/>
  <c r="F516" i="23"/>
  <c r="E516" i="23"/>
  <c r="C516" i="23"/>
  <c r="B516" i="23"/>
  <c r="P515" i="23"/>
  <c r="L515" i="23"/>
  <c r="F515" i="23"/>
  <c r="E515" i="23"/>
  <c r="C515" i="23"/>
  <c r="B515" i="23"/>
  <c r="P514" i="23"/>
  <c r="L514" i="23"/>
  <c r="F514" i="23"/>
  <c r="E514" i="23"/>
  <c r="C514" i="23"/>
  <c r="B514" i="23"/>
  <c r="P513" i="23"/>
  <c r="L513" i="23"/>
  <c r="F513" i="23"/>
  <c r="E513" i="23"/>
  <c r="C513" i="23"/>
  <c r="B513" i="23"/>
  <c r="P512" i="23"/>
  <c r="N513" i="23"/>
  <c r="N514" i="23"/>
  <c r="N515" i="23"/>
  <c r="N516" i="23"/>
  <c r="N517" i="23"/>
  <c r="N518" i="23"/>
  <c r="N519" i="23"/>
  <c r="N520" i="23"/>
  <c r="N521" i="23"/>
  <c r="L512" i="23"/>
  <c r="F512" i="23"/>
  <c r="E512" i="23"/>
  <c r="C512" i="23"/>
  <c r="B512" i="23"/>
  <c r="P511" i="23"/>
  <c r="L511" i="23"/>
  <c r="F511" i="23"/>
  <c r="E511" i="23"/>
  <c r="C511" i="23"/>
  <c r="B511" i="23"/>
  <c r="P510" i="23"/>
  <c r="L510" i="23"/>
  <c r="F510" i="23"/>
  <c r="E510" i="23"/>
  <c r="C510" i="23"/>
  <c r="B510" i="23"/>
  <c r="P509" i="23"/>
  <c r="L509" i="23"/>
  <c r="F509" i="23"/>
  <c r="E509" i="23"/>
  <c r="C509" i="23"/>
  <c r="B509" i="23"/>
  <c r="P508" i="23"/>
  <c r="L508" i="23"/>
  <c r="F508" i="23"/>
  <c r="E508" i="23"/>
  <c r="C508" i="23"/>
  <c r="B508" i="23"/>
  <c r="P507" i="23"/>
  <c r="L507" i="23"/>
  <c r="F507" i="23"/>
  <c r="E507" i="23"/>
  <c r="C507" i="23"/>
  <c r="B507" i="23"/>
  <c r="P506" i="23"/>
  <c r="L506" i="23"/>
  <c r="F506" i="23"/>
  <c r="E506" i="23"/>
  <c r="C506" i="23"/>
  <c r="B506" i="23"/>
  <c r="P505" i="23"/>
  <c r="L505" i="23"/>
  <c r="F505" i="23"/>
  <c r="E505" i="23"/>
  <c r="C505" i="23"/>
  <c r="B505" i="23"/>
  <c r="P504" i="23"/>
  <c r="L504" i="23"/>
  <c r="F504" i="23"/>
  <c r="E504" i="23"/>
  <c r="C504" i="23"/>
  <c r="B504" i="23"/>
  <c r="P503" i="23"/>
  <c r="N503" i="23"/>
  <c r="N504" i="23"/>
  <c r="N505" i="23"/>
  <c r="N506" i="23"/>
  <c r="N507" i="23"/>
  <c r="N508" i="23"/>
  <c r="N509" i="23"/>
  <c r="N510" i="23"/>
  <c r="N511" i="23"/>
  <c r="L503" i="23"/>
  <c r="F503" i="23"/>
  <c r="E503" i="23"/>
  <c r="C503" i="23"/>
  <c r="B503" i="23"/>
  <c r="P502" i="23"/>
  <c r="L502" i="23"/>
  <c r="F502" i="23"/>
  <c r="E502" i="23"/>
  <c r="C502" i="23"/>
  <c r="B502" i="23"/>
  <c r="P501" i="23"/>
  <c r="L501" i="23"/>
  <c r="F501" i="23"/>
  <c r="E501" i="23"/>
  <c r="C501" i="23"/>
  <c r="B501" i="23"/>
  <c r="P500" i="23"/>
  <c r="L500" i="23"/>
  <c r="F500" i="23"/>
  <c r="E500" i="23"/>
  <c r="C500" i="23"/>
  <c r="B500" i="23"/>
  <c r="P499" i="23"/>
  <c r="L499" i="23"/>
  <c r="F499" i="23"/>
  <c r="E499" i="23"/>
  <c r="C499" i="23"/>
  <c r="B499" i="23"/>
  <c r="P498" i="23"/>
  <c r="L498" i="23"/>
  <c r="F498" i="23"/>
  <c r="E498" i="23"/>
  <c r="C498" i="23"/>
  <c r="B498" i="23"/>
  <c r="P497" i="23"/>
  <c r="L497" i="23"/>
  <c r="F497" i="23"/>
  <c r="E497" i="23"/>
  <c r="C497" i="23"/>
  <c r="B497" i="23"/>
  <c r="P496" i="23"/>
  <c r="L496" i="23"/>
  <c r="F496" i="23"/>
  <c r="E496" i="23"/>
  <c r="C496" i="23"/>
  <c r="B496" i="23"/>
  <c r="P495" i="23"/>
  <c r="L495" i="23"/>
  <c r="F495" i="23"/>
  <c r="E495" i="23"/>
  <c r="C495" i="23"/>
  <c r="B495" i="23"/>
  <c r="P494" i="23"/>
  <c r="L494" i="23"/>
  <c r="F494" i="23"/>
  <c r="E494" i="23"/>
  <c r="C494" i="23"/>
  <c r="B494" i="23"/>
  <c r="P493" i="23"/>
  <c r="L493" i="23"/>
  <c r="F493" i="23"/>
  <c r="E493" i="23"/>
  <c r="C493" i="23"/>
  <c r="B493" i="23"/>
  <c r="P492" i="23"/>
  <c r="N493" i="23"/>
  <c r="N494" i="23"/>
  <c r="N495" i="23"/>
  <c r="N496" i="23"/>
  <c r="N497" i="23"/>
  <c r="N498" i="23"/>
  <c r="N499" i="23"/>
  <c r="N500" i="23"/>
  <c r="N501" i="23"/>
  <c r="L492" i="23"/>
  <c r="F492" i="23"/>
  <c r="E492" i="23"/>
  <c r="C492" i="23"/>
  <c r="B492" i="23"/>
  <c r="P491" i="23"/>
  <c r="L491" i="23"/>
  <c r="F491" i="23"/>
  <c r="E491" i="23"/>
  <c r="C491" i="23"/>
  <c r="B491" i="23"/>
  <c r="P490" i="23"/>
  <c r="L490" i="23"/>
  <c r="F490" i="23"/>
  <c r="E490" i="23"/>
  <c r="C490" i="23"/>
  <c r="B490" i="23"/>
  <c r="P489" i="23"/>
  <c r="L489" i="23"/>
  <c r="F489" i="23"/>
  <c r="E489" i="23"/>
  <c r="C489" i="23"/>
  <c r="B489" i="23"/>
  <c r="P488" i="23"/>
  <c r="L488" i="23"/>
  <c r="F488" i="23"/>
  <c r="E488" i="23"/>
  <c r="C488" i="23"/>
  <c r="B488" i="23"/>
  <c r="P487" i="23"/>
  <c r="L487" i="23"/>
  <c r="F487" i="23"/>
  <c r="E487" i="23"/>
  <c r="C487" i="23"/>
  <c r="B487" i="23"/>
  <c r="P486" i="23"/>
  <c r="L486" i="23"/>
  <c r="F486" i="23"/>
  <c r="E486" i="23"/>
  <c r="C486" i="23"/>
  <c r="B486" i="23"/>
  <c r="P485" i="23"/>
  <c r="L485" i="23"/>
  <c r="F485" i="23"/>
  <c r="E485" i="23"/>
  <c r="C485" i="23"/>
  <c r="B485" i="23"/>
  <c r="P484" i="23"/>
  <c r="L484" i="23"/>
  <c r="F484" i="23"/>
  <c r="E484" i="23"/>
  <c r="C484" i="23"/>
  <c r="B484" i="23"/>
  <c r="P483" i="23"/>
  <c r="L483" i="23"/>
  <c r="F483" i="23"/>
  <c r="E483" i="23"/>
  <c r="C483" i="23"/>
  <c r="B483" i="23"/>
  <c r="P482" i="23"/>
  <c r="N483" i="23"/>
  <c r="N484" i="23"/>
  <c r="N485" i="23"/>
  <c r="N486" i="23"/>
  <c r="N487" i="23"/>
  <c r="N488" i="23"/>
  <c r="N489" i="23"/>
  <c r="N490" i="23"/>
  <c r="N491" i="23"/>
  <c r="L482" i="23"/>
  <c r="F482" i="23"/>
  <c r="E482" i="23"/>
  <c r="C482" i="23"/>
  <c r="B482" i="23"/>
  <c r="P481" i="23"/>
  <c r="L481" i="23"/>
  <c r="F481" i="23"/>
  <c r="E481" i="23"/>
  <c r="C481" i="23"/>
  <c r="B481" i="23"/>
  <c r="P480" i="23"/>
  <c r="L480" i="23"/>
  <c r="F480" i="23"/>
  <c r="E480" i="23"/>
  <c r="C480" i="23"/>
  <c r="B480" i="23"/>
  <c r="P479" i="23"/>
  <c r="L479" i="23"/>
  <c r="F479" i="23"/>
  <c r="E479" i="23"/>
  <c r="C479" i="23"/>
  <c r="B479" i="23"/>
  <c r="P478" i="23"/>
  <c r="L478" i="23"/>
  <c r="F478" i="23"/>
  <c r="E478" i="23"/>
  <c r="C478" i="23"/>
  <c r="B478" i="23"/>
  <c r="P477" i="23"/>
  <c r="L477" i="23"/>
  <c r="F477" i="23"/>
  <c r="E477" i="23"/>
  <c r="C477" i="23"/>
  <c r="B477" i="23"/>
  <c r="P476" i="23"/>
  <c r="L476" i="23"/>
  <c r="F476" i="23"/>
  <c r="E476" i="23"/>
  <c r="C476" i="23"/>
  <c r="B476" i="23"/>
  <c r="P475" i="23"/>
  <c r="L475" i="23"/>
  <c r="F475" i="23"/>
  <c r="E475" i="23"/>
  <c r="C475" i="23"/>
  <c r="B475" i="23"/>
  <c r="P474" i="23"/>
  <c r="L474" i="23"/>
  <c r="F474" i="23"/>
  <c r="E474" i="23"/>
  <c r="C474" i="23"/>
  <c r="B474" i="23"/>
  <c r="P473" i="23"/>
  <c r="L473" i="23"/>
  <c r="F473" i="23"/>
  <c r="E473" i="23"/>
  <c r="C473" i="23"/>
  <c r="B473" i="23"/>
  <c r="P472" i="23"/>
  <c r="N473" i="23"/>
  <c r="N474" i="23"/>
  <c r="N475" i="23"/>
  <c r="N476" i="23"/>
  <c r="N477" i="23"/>
  <c r="N478" i="23"/>
  <c r="N479" i="23"/>
  <c r="N480" i="23"/>
  <c r="N481" i="23"/>
  <c r="L472" i="23"/>
  <c r="F472" i="23"/>
  <c r="E472" i="23"/>
  <c r="C472" i="23"/>
  <c r="B472" i="23"/>
  <c r="P471" i="23"/>
  <c r="L471" i="23"/>
  <c r="F471" i="23"/>
  <c r="E471" i="23"/>
  <c r="C471" i="23"/>
  <c r="B471" i="23"/>
  <c r="P470" i="23"/>
  <c r="L470" i="23"/>
  <c r="F470" i="23"/>
  <c r="E470" i="23"/>
  <c r="C470" i="23"/>
  <c r="B470" i="23"/>
  <c r="P469" i="23"/>
  <c r="L469" i="23"/>
  <c r="F469" i="23"/>
  <c r="E469" i="23"/>
  <c r="C469" i="23"/>
  <c r="B469" i="23"/>
  <c r="P468" i="23"/>
  <c r="L468" i="23"/>
  <c r="F468" i="23"/>
  <c r="E468" i="23"/>
  <c r="C468" i="23"/>
  <c r="B468" i="23"/>
  <c r="P467" i="23"/>
  <c r="L467" i="23"/>
  <c r="F467" i="23"/>
  <c r="E467" i="23"/>
  <c r="C467" i="23"/>
  <c r="B467" i="23"/>
  <c r="P466" i="23"/>
  <c r="L466" i="23"/>
  <c r="F466" i="23"/>
  <c r="E466" i="23"/>
  <c r="C466" i="23"/>
  <c r="B466" i="23"/>
  <c r="P465" i="23"/>
  <c r="L465" i="23"/>
  <c r="F465" i="23"/>
  <c r="E465" i="23"/>
  <c r="C465" i="23"/>
  <c r="B465" i="23"/>
  <c r="P464" i="23"/>
  <c r="N464" i="23"/>
  <c r="N465" i="23"/>
  <c r="N466" i="23"/>
  <c r="N467" i="23"/>
  <c r="N468" i="23"/>
  <c r="N469" i="23"/>
  <c r="N470" i="23"/>
  <c r="N471" i="23"/>
  <c r="L464" i="23"/>
  <c r="F464" i="23"/>
  <c r="E464" i="23"/>
  <c r="C464" i="23"/>
  <c r="B464" i="23"/>
  <c r="P463" i="23"/>
  <c r="N463" i="23"/>
  <c r="L463" i="23"/>
  <c r="F463" i="23"/>
  <c r="E463" i="23"/>
  <c r="C463" i="23"/>
  <c r="B463" i="23"/>
  <c r="P462" i="23"/>
  <c r="L462" i="23"/>
  <c r="F462" i="23"/>
  <c r="E462" i="23"/>
  <c r="C462" i="23"/>
  <c r="B462" i="23"/>
  <c r="P461" i="23"/>
  <c r="L461" i="23"/>
  <c r="F461" i="23"/>
  <c r="E461" i="23"/>
  <c r="C461" i="23"/>
  <c r="B461" i="23"/>
  <c r="P460" i="23"/>
  <c r="L460" i="23"/>
  <c r="F460" i="23"/>
  <c r="E460" i="23"/>
  <c r="C460" i="23"/>
  <c r="B460" i="23"/>
  <c r="P459" i="23"/>
  <c r="L459" i="23"/>
  <c r="F459" i="23"/>
  <c r="E459" i="23"/>
  <c r="C459" i="23"/>
  <c r="B459" i="23"/>
  <c r="P458" i="23"/>
  <c r="L458" i="23"/>
  <c r="F458" i="23"/>
  <c r="E458" i="23"/>
  <c r="C458" i="23"/>
  <c r="B458" i="23"/>
  <c r="P457" i="23"/>
  <c r="L457" i="23"/>
  <c r="F457" i="23"/>
  <c r="E457" i="23"/>
  <c r="C457" i="23"/>
  <c r="B457" i="23"/>
  <c r="P456" i="23"/>
  <c r="L456" i="23"/>
  <c r="F456" i="23"/>
  <c r="E456" i="23"/>
  <c r="C456" i="23"/>
  <c r="B456" i="23"/>
  <c r="P455" i="23"/>
  <c r="L455" i="23"/>
  <c r="F455" i="23"/>
  <c r="E455" i="23"/>
  <c r="C455" i="23"/>
  <c r="B455" i="23"/>
  <c r="P454" i="23"/>
  <c r="L454" i="23"/>
  <c r="F454" i="23"/>
  <c r="E454" i="23"/>
  <c r="C454" i="23"/>
  <c r="B454" i="23"/>
  <c r="P453" i="23"/>
  <c r="L453" i="23"/>
  <c r="F453" i="23"/>
  <c r="E453" i="23"/>
  <c r="C453" i="23"/>
  <c r="B453" i="23"/>
  <c r="P452" i="23"/>
  <c r="N453" i="23"/>
  <c r="N454" i="23"/>
  <c r="N455" i="23"/>
  <c r="N456" i="23"/>
  <c r="N457" i="23"/>
  <c r="N458" i="23"/>
  <c r="N459" i="23"/>
  <c r="N460" i="23"/>
  <c r="N461" i="23"/>
  <c r="L452" i="23"/>
  <c r="F452" i="23"/>
  <c r="E452" i="23"/>
  <c r="C452" i="23"/>
  <c r="B452" i="23"/>
  <c r="P451" i="23"/>
  <c r="L451" i="23"/>
  <c r="F451" i="23"/>
  <c r="E451" i="23"/>
  <c r="C451" i="23"/>
  <c r="B451" i="23"/>
  <c r="P450" i="23"/>
  <c r="L450" i="23"/>
  <c r="F450" i="23"/>
  <c r="E450" i="23"/>
  <c r="C450" i="23"/>
  <c r="B450" i="23"/>
  <c r="P449" i="23"/>
  <c r="L449" i="23"/>
  <c r="F449" i="23"/>
  <c r="E449" i="23"/>
  <c r="C449" i="23"/>
  <c r="B449" i="23"/>
  <c r="P448" i="23"/>
  <c r="L448" i="23"/>
  <c r="F448" i="23"/>
  <c r="E448" i="23"/>
  <c r="C448" i="23"/>
  <c r="B448" i="23"/>
  <c r="P447" i="23"/>
  <c r="L447" i="23"/>
  <c r="F447" i="23"/>
  <c r="E447" i="23"/>
  <c r="C447" i="23"/>
  <c r="B447" i="23"/>
  <c r="P446" i="23"/>
  <c r="L446" i="23"/>
  <c r="F446" i="23"/>
  <c r="E446" i="23"/>
  <c r="C446" i="23"/>
  <c r="B446" i="23"/>
  <c r="P445" i="23"/>
  <c r="L445" i="23"/>
  <c r="F445" i="23"/>
  <c r="E445" i="23"/>
  <c r="C445" i="23"/>
  <c r="B445" i="23"/>
  <c r="P444" i="23"/>
  <c r="L444" i="23"/>
  <c r="F444" i="23"/>
  <c r="E444" i="23"/>
  <c r="C444" i="23"/>
  <c r="B444" i="23"/>
  <c r="P443" i="23"/>
  <c r="M443" i="23"/>
  <c r="M444" i="23" s="1"/>
  <c r="M445" i="23" s="1"/>
  <c r="M446" i="23" s="1"/>
  <c r="M447" i="23" s="1"/>
  <c r="M448" i="23" s="1"/>
  <c r="M449" i="23" s="1"/>
  <c r="M450" i="23" s="1"/>
  <c r="M451" i="23" s="1"/>
  <c r="L443" i="23"/>
  <c r="F443" i="23"/>
  <c r="E443" i="23"/>
  <c r="C443" i="23"/>
  <c r="B443" i="23"/>
  <c r="P442" i="23"/>
  <c r="N443" i="23"/>
  <c r="N444" i="23"/>
  <c r="N445" i="23"/>
  <c r="N446" i="23"/>
  <c r="N447" i="23"/>
  <c r="N448" i="23"/>
  <c r="N449" i="23"/>
  <c r="N450" i="23"/>
  <c r="N451" i="23"/>
  <c r="L442" i="23"/>
  <c r="F442" i="23"/>
  <c r="E442" i="23"/>
  <c r="C442" i="23"/>
  <c r="B442" i="23"/>
  <c r="P441" i="23"/>
  <c r="L441" i="23"/>
  <c r="F441" i="23"/>
  <c r="E441" i="23"/>
  <c r="C441" i="23"/>
  <c r="B441" i="23"/>
  <c r="P440" i="23"/>
  <c r="L440" i="23"/>
  <c r="F440" i="23"/>
  <c r="E440" i="23"/>
  <c r="C440" i="23"/>
  <c r="B440" i="23"/>
  <c r="P439" i="23"/>
  <c r="L439" i="23"/>
  <c r="F439" i="23"/>
  <c r="E439" i="23"/>
  <c r="C439" i="23"/>
  <c r="B439" i="23"/>
  <c r="P438" i="23"/>
  <c r="L438" i="23"/>
  <c r="F438" i="23"/>
  <c r="E438" i="23"/>
  <c r="C438" i="23"/>
  <c r="B438" i="23"/>
  <c r="P437" i="23"/>
  <c r="L437" i="23"/>
  <c r="F437" i="23"/>
  <c r="E437" i="23"/>
  <c r="C437" i="23"/>
  <c r="B437" i="23"/>
  <c r="P436" i="23"/>
  <c r="L436" i="23"/>
  <c r="F436" i="23"/>
  <c r="E436" i="23"/>
  <c r="C436" i="23"/>
  <c r="B436" i="23"/>
  <c r="P435" i="23"/>
  <c r="L435" i="23"/>
  <c r="F435" i="23"/>
  <c r="E435" i="23"/>
  <c r="C435" i="23"/>
  <c r="B435" i="23"/>
  <c r="P434" i="23"/>
  <c r="L434" i="23"/>
  <c r="F434" i="23"/>
  <c r="E434" i="23"/>
  <c r="C434" i="23"/>
  <c r="B434" i="23"/>
  <c r="P433" i="23"/>
  <c r="L433" i="23"/>
  <c r="F433" i="23"/>
  <c r="E433" i="23"/>
  <c r="C433" i="23"/>
  <c r="B433" i="23"/>
  <c r="P432" i="23"/>
  <c r="N433" i="23"/>
  <c r="N434" i="23"/>
  <c r="N435" i="23"/>
  <c r="N436" i="23"/>
  <c r="N437" i="23"/>
  <c r="N438" i="23"/>
  <c r="N439" i="23"/>
  <c r="N440" i="23"/>
  <c r="N441" i="23"/>
  <c r="L432" i="23"/>
  <c r="F432" i="23"/>
  <c r="E432" i="23"/>
  <c r="C432" i="23"/>
  <c r="B432" i="23"/>
  <c r="P431" i="23"/>
  <c r="L431" i="23"/>
  <c r="F431" i="23"/>
  <c r="E431" i="23"/>
  <c r="C431" i="23"/>
  <c r="B431" i="23"/>
  <c r="P430" i="23"/>
  <c r="L430" i="23"/>
  <c r="F430" i="23"/>
  <c r="E430" i="23"/>
  <c r="C430" i="23"/>
  <c r="B430" i="23"/>
  <c r="P429" i="23"/>
  <c r="L429" i="23"/>
  <c r="F429" i="23"/>
  <c r="E429" i="23"/>
  <c r="C429" i="23"/>
  <c r="B429" i="23"/>
  <c r="P428" i="23"/>
  <c r="L428" i="23"/>
  <c r="F428" i="23"/>
  <c r="E428" i="23"/>
  <c r="C428" i="23"/>
  <c r="B428" i="23"/>
  <c r="P427" i="23"/>
  <c r="L427" i="23"/>
  <c r="F427" i="23"/>
  <c r="E427" i="23"/>
  <c r="C427" i="23"/>
  <c r="B427" i="23"/>
  <c r="P426" i="23"/>
  <c r="L426" i="23"/>
  <c r="F426" i="23"/>
  <c r="E426" i="23"/>
  <c r="C426" i="23"/>
  <c r="B426" i="23"/>
  <c r="P425" i="23"/>
  <c r="L425" i="23"/>
  <c r="F425" i="23"/>
  <c r="E425" i="23"/>
  <c r="C425" i="23"/>
  <c r="B425" i="23"/>
  <c r="P424" i="23"/>
  <c r="L424" i="23"/>
  <c r="F424" i="23"/>
  <c r="E424" i="23"/>
  <c r="C424" i="23"/>
  <c r="B424" i="23"/>
  <c r="P423" i="23"/>
  <c r="L423" i="23"/>
  <c r="F423" i="23"/>
  <c r="E423" i="23"/>
  <c r="C423" i="23"/>
  <c r="B423" i="23"/>
  <c r="P422" i="23"/>
  <c r="N423" i="23"/>
  <c r="N424" i="23"/>
  <c r="N425" i="23"/>
  <c r="N426" i="23"/>
  <c r="N427" i="23"/>
  <c r="N428" i="23"/>
  <c r="N429" i="23"/>
  <c r="N430" i="23"/>
  <c r="N431" i="23"/>
  <c r="L422" i="23"/>
  <c r="F422" i="23"/>
  <c r="E422" i="23"/>
  <c r="C422" i="23"/>
  <c r="B422" i="23"/>
  <c r="P421" i="23"/>
  <c r="L421" i="23"/>
  <c r="F421" i="23"/>
  <c r="E421" i="23"/>
  <c r="C421" i="23"/>
  <c r="B421" i="23"/>
  <c r="P420" i="23"/>
  <c r="L420" i="23"/>
  <c r="F420" i="23"/>
  <c r="E420" i="23"/>
  <c r="C420" i="23"/>
  <c r="B420" i="23"/>
  <c r="P419" i="23"/>
  <c r="L419" i="23"/>
  <c r="F419" i="23"/>
  <c r="E419" i="23"/>
  <c r="C419" i="23"/>
  <c r="B419" i="23"/>
  <c r="P418" i="23"/>
  <c r="L418" i="23"/>
  <c r="F418" i="23"/>
  <c r="E418" i="23"/>
  <c r="C418" i="23"/>
  <c r="B418" i="23"/>
  <c r="P417" i="23"/>
  <c r="L417" i="23"/>
  <c r="F417" i="23"/>
  <c r="E417" i="23"/>
  <c r="C417" i="23"/>
  <c r="B417" i="23"/>
  <c r="P416" i="23"/>
  <c r="L416" i="23"/>
  <c r="F416" i="23"/>
  <c r="E416" i="23"/>
  <c r="C416" i="23"/>
  <c r="B416" i="23"/>
  <c r="P415" i="23"/>
  <c r="L415" i="23"/>
  <c r="F415" i="23"/>
  <c r="E415" i="23"/>
  <c r="C415" i="23"/>
  <c r="B415" i="23"/>
  <c r="P414" i="23"/>
  <c r="L414" i="23"/>
  <c r="F414" i="23"/>
  <c r="E414" i="23"/>
  <c r="C414" i="23"/>
  <c r="B414" i="23"/>
  <c r="P413" i="23"/>
  <c r="N413" i="23"/>
  <c r="N414" i="23"/>
  <c r="N415" i="23"/>
  <c r="N416" i="23"/>
  <c r="N417" i="23"/>
  <c r="N418" i="23"/>
  <c r="N419" i="23"/>
  <c r="N420" i="23"/>
  <c r="N421" i="23"/>
  <c r="L413" i="23"/>
  <c r="F413" i="23"/>
  <c r="E413" i="23"/>
  <c r="C413" i="23"/>
  <c r="B413" i="23"/>
  <c r="P412" i="23"/>
  <c r="L412" i="23"/>
  <c r="F412" i="23"/>
  <c r="E412" i="23"/>
  <c r="C412" i="23"/>
  <c r="B412" i="23"/>
  <c r="P411" i="23"/>
  <c r="L411" i="23"/>
  <c r="F411" i="23"/>
  <c r="E411" i="23"/>
  <c r="C411" i="23"/>
  <c r="B411" i="23"/>
  <c r="P410" i="23"/>
  <c r="L410" i="23"/>
  <c r="F410" i="23"/>
  <c r="E410" i="23"/>
  <c r="C410" i="23"/>
  <c r="B410" i="23"/>
  <c r="P409" i="23"/>
  <c r="L409" i="23"/>
  <c r="F409" i="23"/>
  <c r="E409" i="23"/>
  <c r="C409" i="23"/>
  <c r="B409" i="23"/>
  <c r="P408" i="23"/>
  <c r="L408" i="23"/>
  <c r="F408" i="23"/>
  <c r="E408" i="23"/>
  <c r="C408" i="23"/>
  <c r="B408" i="23"/>
  <c r="P407" i="23"/>
  <c r="L407" i="23"/>
  <c r="F407" i="23"/>
  <c r="E407" i="23"/>
  <c r="C407" i="23"/>
  <c r="B407" i="23"/>
  <c r="P406" i="23"/>
  <c r="L406" i="23"/>
  <c r="F406" i="23"/>
  <c r="E406" i="23"/>
  <c r="C406" i="23"/>
  <c r="B406" i="23"/>
  <c r="P405" i="23"/>
  <c r="L405" i="23"/>
  <c r="F405" i="23"/>
  <c r="E405" i="23"/>
  <c r="C405" i="23"/>
  <c r="B405" i="23"/>
  <c r="P404" i="23"/>
  <c r="L404" i="23"/>
  <c r="F404" i="23"/>
  <c r="E404" i="23"/>
  <c r="C404" i="23"/>
  <c r="B404" i="23"/>
  <c r="P403" i="23"/>
  <c r="L403" i="23"/>
  <c r="F403" i="23"/>
  <c r="E403" i="23"/>
  <c r="C403" i="23"/>
  <c r="B403" i="23"/>
  <c r="P402" i="23"/>
  <c r="N403" i="23"/>
  <c r="N404" i="23"/>
  <c r="N405" i="23"/>
  <c r="N406" i="23"/>
  <c r="N407" i="23"/>
  <c r="N408" i="23"/>
  <c r="N409" i="23"/>
  <c r="N410" i="23"/>
  <c r="N411" i="23"/>
  <c r="L402" i="23"/>
  <c r="F402" i="23"/>
  <c r="E402" i="23"/>
  <c r="C402" i="23"/>
  <c r="B402" i="23"/>
  <c r="P401" i="23"/>
  <c r="L401" i="23"/>
  <c r="F401" i="23"/>
  <c r="E401" i="23"/>
  <c r="C401" i="23"/>
  <c r="B401" i="23"/>
  <c r="P400" i="23"/>
  <c r="L400" i="23"/>
  <c r="F400" i="23"/>
  <c r="E400" i="23"/>
  <c r="C400" i="23"/>
  <c r="B400" i="23"/>
  <c r="P399" i="23"/>
  <c r="L399" i="23"/>
  <c r="F399" i="23"/>
  <c r="E399" i="23"/>
  <c r="C399" i="23"/>
  <c r="B399" i="23"/>
  <c r="P398" i="23"/>
  <c r="L398" i="23"/>
  <c r="F398" i="23"/>
  <c r="E398" i="23"/>
  <c r="C398" i="23"/>
  <c r="B398" i="23"/>
  <c r="P397" i="23"/>
  <c r="L397" i="23"/>
  <c r="F397" i="23"/>
  <c r="E397" i="23"/>
  <c r="C397" i="23"/>
  <c r="B397" i="23"/>
  <c r="P396" i="23"/>
  <c r="L396" i="23"/>
  <c r="F396" i="23"/>
  <c r="E396" i="23"/>
  <c r="C396" i="23"/>
  <c r="B396" i="23"/>
  <c r="P395" i="23"/>
  <c r="L395" i="23"/>
  <c r="F395" i="23"/>
  <c r="E395" i="23"/>
  <c r="C395" i="23"/>
  <c r="B395" i="23"/>
  <c r="P394" i="23"/>
  <c r="L394" i="23"/>
  <c r="F394" i="23"/>
  <c r="E394" i="23"/>
  <c r="C394" i="23"/>
  <c r="B394" i="23"/>
  <c r="P393" i="23"/>
  <c r="M393" i="23"/>
  <c r="M394" i="23"/>
  <c r="M395" i="23"/>
  <c r="M396" i="23" s="1"/>
  <c r="M397" i="23" s="1"/>
  <c r="M398" i="23" s="1"/>
  <c r="M399" i="23" s="1"/>
  <c r="M400" i="23" s="1"/>
  <c r="M401" i="23" s="1"/>
  <c r="L393" i="23"/>
  <c r="F393" i="23"/>
  <c r="E393" i="23"/>
  <c r="C393" i="23"/>
  <c r="B393" i="23"/>
  <c r="P392" i="23"/>
  <c r="N393" i="23"/>
  <c r="N394" i="23"/>
  <c r="N395" i="23"/>
  <c r="N396" i="23"/>
  <c r="N397" i="23"/>
  <c r="N398" i="23"/>
  <c r="N399" i="23"/>
  <c r="N400" i="23"/>
  <c r="N401" i="23"/>
  <c r="L392" i="23"/>
  <c r="F392" i="23"/>
  <c r="E392" i="23"/>
  <c r="C392" i="23"/>
  <c r="B392" i="23"/>
  <c r="P391" i="23"/>
  <c r="L391" i="23"/>
  <c r="F391" i="23"/>
  <c r="E391" i="23"/>
  <c r="C391" i="23"/>
  <c r="B391" i="23"/>
  <c r="P390" i="23"/>
  <c r="L390" i="23"/>
  <c r="F390" i="23"/>
  <c r="E390" i="23"/>
  <c r="C390" i="23"/>
  <c r="B390" i="23"/>
  <c r="P389" i="23"/>
  <c r="L389" i="23"/>
  <c r="F389" i="23"/>
  <c r="E389" i="23"/>
  <c r="C389" i="23"/>
  <c r="B389" i="23"/>
  <c r="P388" i="23"/>
  <c r="L388" i="23"/>
  <c r="F388" i="23"/>
  <c r="E388" i="23"/>
  <c r="C388" i="23"/>
  <c r="B388" i="23"/>
  <c r="P387" i="23"/>
  <c r="L387" i="23"/>
  <c r="F387" i="23"/>
  <c r="E387" i="23"/>
  <c r="C387" i="23"/>
  <c r="B387" i="23"/>
  <c r="P386" i="23"/>
  <c r="L386" i="23"/>
  <c r="F386" i="23"/>
  <c r="E386" i="23"/>
  <c r="C386" i="23"/>
  <c r="B386" i="23"/>
  <c r="P385" i="23"/>
  <c r="L385" i="23"/>
  <c r="F385" i="23"/>
  <c r="E385" i="23"/>
  <c r="C385" i="23"/>
  <c r="B385" i="23"/>
  <c r="P384" i="23"/>
  <c r="L384" i="23"/>
  <c r="F384" i="23"/>
  <c r="E384" i="23"/>
  <c r="C384" i="23"/>
  <c r="B384" i="23"/>
  <c r="P383" i="23"/>
  <c r="L383" i="23"/>
  <c r="F383" i="23"/>
  <c r="E383" i="23"/>
  <c r="C383" i="23"/>
  <c r="B383" i="23"/>
  <c r="P382" i="23"/>
  <c r="N383" i="23"/>
  <c r="N384" i="23"/>
  <c r="N385" i="23"/>
  <c r="N386" i="23"/>
  <c r="N387" i="23"/>
  <c r="N388" i="23"/>
  <c r="N389" i="23"/>
  <c r="N390" i="23"/>
  <c r="N391" i="23"/>
  <c r="L382" i="23"/>
  <c r="F382" i="23"/>
  <c r="E382" i="23"/>
  <c r="C382" i="23"/>
  <c r="B382" i="23"/>
  <c r="P381" i="23"/>
  <c r="L381" i="23"/>
  <c r="F381" i="23"/>
  <c r="E381" i="23"/>
  <c r="C381" i="23"/>
  <c r="B381" i="23"/>
  <c r="P380" i="23"/>
  <c r="L380" i="23"/>
  <c r="F380" i="23"/>
  <c r="E380" i="23"/>
  <c r="C380" i="23"/>
  <c r="B380" i="23"/>
  <c r="P379" i="23"/>
  <c r="L379" i="23"/>
  <c r="F379" i="23"/>
  <c r="E379" i="23"/>
  <c r="C379" i="23"/>
  <c r="B379" i="23"/>
  <c r="P378" i="23"/>
  <c r="L378" i="23"/>
  <c r="F378" i="23"/>
  <c r="E378" i="23"/>
  <c r="C378" i="23"/>
  <c r="B378" i="23"/>
  <c r="P377" i="23"/>
  <c r="L377" i="23"/>
  <c r="F377" i="23"/>
  <c r="E377" i="23"/>
  <c r="C377" i="23"/>
  <c r="B377" i="23"/>
  <c r="P376" i="23"/>
  <c r="L376" i="23"/>
  <c r="F376" i="23"/>
  <c r="E376" i="23"/>
  <c r="C376" i="23"/>
  <c r="B376" i="23"/>
  <c r="P375" i="23"/>
  <c r="L375" i="23"/>
  <c r="F375" i="23"/>
  <c r="E375" i="23"/>
  <c r="C375" i="23"/>
  <c r="B375" i="23"/>
  <c r="P374" i="23"/>
  <c r="L374" i="23"/>
  <c r="F374" i="23"/>
  <c r="E374" i="23"/>
  <c r="C374" i="23"/>
  <c r="B374" i="23"/>
  <c r="P373" i="23"/>
  <c r="L373" i="23"/>
  <c r="F373" i="23"/>
  <c r="E373" i="23"/>
  <c r="C373" i="23"/>
  <c r="B373" i="23"/>
  <c r="P372" i="23"/>
  <c r="N373" i="23"/>
  <c r="N374" i="23"/>
  <c r="N375" i="23"/>
  <c r="N376" i="23"/>
  <c r="N377" i="23"/>
  <c r="N378" i="23"/>
  <c r="N379" i="23"/>
  <c r="N380" i="23"/>
  <c r="N381" i="23"/>
  <c r="L372" i="23"/>
  <c r="F372" i="23"/>
  <c r="E372" i="23"/>
  <c r="C372" i="23"/>
  <c r="B372" i="23"/>
  <c r="P371" i="23"/>
  <c r="L371" i="23"/>
  <c r="F371" i="23"/>
  <c r="E371" i="23"/>
  <c r="C371" i="23"/>
  <c r="B371" i="23"/>
  <c r="P370" i="23"/>
  <c r="L370" i="23"/>
  <c r="F370" i="23"/>
  <c r="E370" i="23"/>
  <c r="C370" i="23"/>
  <c r="B370" i="23"/>
  <c r="P369" i="23"/>
  <c r="L369" i="23"/>
  <c r="F369" i="23"/>
  <c r="E369" i="23"/>
  <c r="C369" i="23"/>
  <c r="B369" i="23"/>
  <c r="P368" i="23"/>
  <c r="L368" i="23"/>
  <c r="F368" i="23"/>
  <c r="E368" i="23"/>
  <c r="C368" i="23"/>
  <c r="B368" i="23"/>
  <c r="P367" i="23"/>
  <c r="L367" i="23"/>
  <c r="F367" i="23"/>
  <c r="E367" i="23"/>
  <c r="C367" i="23"/>
  <c r="B367" i="23"/>
  <c r="P366" i="23"/>
  <c r="L366" i="23"/>
  <c r="F366" i="23"/>
  <c r="E366" i="23"/>
  <c r="C366" i="23"/>
  <c r="B366" i="23"/>
  <c r="P365" i="23"/>
  <c r="L365" i="23"/>
  <c r="F365" i="23"/>
  <c r="E365" i="23"/>
  <c r="C365" i="23"/>
  <c r="B365" i="23"/>
  <c r="P364" i="23"/>
  <c r="L364" i="23"/>
  <c r="F364" i="23"/>
  <c r="E364" i="23"/>
  <c r="C364" i="23"/>
  <c r="B364" i="23"/>
  <c r="P363" i="23"/>
  <c r="L363" i="23"/>
  <c r="F363" i="23"/>
  <c r="E363" i="23"/>
  <c r="C363" i="23"/>
  <c r="B363" i="23"/>
  <c r="P362" i="23"/>
  <c r="L362" i="23"/>
  <c r="F362" i="23"/>
  <c r="E362" i="23"/>
  <c r="C362" i="23"/>
  <c r="B362" i="23"/>
  <c r="P361" i="23"/>
  <c r="L361" i="23"/>
  <c r="F361" i="23"/>
  <c r="E361" i="23"/>
  <c r="C361" i="23"/>
  <c r="B361" i="23"/>
  <c r="P360" i="23"/>
  <c r="L360" i="23"/>
  <c r="F360" i="23"/>
  <c r="E360" i="23"/>
  <c r="C360" i="23"/>
  <c r="B360" i="23"/>
  <c r="P359" i="23"/>
  <c r="L359" i="23"/>
  <c r="F359" i="23"/>
  <c r="E359" i="23"/>
  <c r="C359" i="23"/>
  <c r="B359" i="23"/>
  <c r="P358" i="23"/>
  <c r="L358" i="23"/>
  <c r="F358" i="23"/>
  <c r="E358" i="23"/>
  <c r="C358" i="23"/>
  <c r="B358" i="23"/>
  <c r="P357" i="23"/>
  <c r="L357" i="23"/>
  <c r="F357" i="23"/>
  <c r="E357" i="23"/>
  <c r="C357" i="23"/>
  <c r="B357" i="23"/>
  <c r="P356" i="23"/>
  <c r="L356" i="23"/>
  <c r="F356" i="23"/>
  <c r="E356" i="23"/>
  <c r="C356" i="23"/>
  <c r="B356" i="23"/>
  <c r="P355" i="23"/>
  <c r="L355" i="23"/>
  <c r="F355" i="23"/>
  <c r="E355" i="23"/>
  <c r="C355" i="23"/>
  <c r="B355" i="23"/>
  <c r="P354" i="23"/>
  <c r="L354" i="23"/>
  <c r="F354" i="23"/>
  <c r="E354" i="23"/>
  <c r="C354" i="23"/>
  <c r="B354" i="23"/>
  <c r="P353" i="23"/>
  <c r="L353" i="23"/>
  <c r="F353" i="23"/>
  <c r="E353" i="23"/>
  <c r="C353" i="23"/>
  <c r="B353" i="23"/>
  <c r="P352" i="23"/>
  <c r="N353" i="23"/>
  <c r="N354" i="23"/>
  <c r="N355" i="23"/>
  <c r="N356" i="23"/>
  <c r="N357" i="23"/>
  <c r="N358" i="23"/>
  <c r="N359" i="23"/>
  <c r="N360" i="23"/>
  <c r="N361" i="23"/>
  <c r="L352" i="23"/>
  <c r="F352" i="23"/>
  <c r="E352" i="23"/>
  <c r="C352" i="23"/>
  <c r="B352" i="23"/>
  <c r="P351" i="23"/>
  <c r="L351" i="23"/>
  <c r="F351" i="23"/>
  <c r="E351" i="23"/>
  <c r="C351" i="23"/>
  <c r="B351" i="23"/>
  <c r="P350" i="23"/>
  <c r="L350" i="23"/>
  <c r="F350" i="23"/>
  <c r="E350" i="23"/>
  <c r="C350" i="23"/>
  <c r="B350" i="23"/>
  <c r="P349" i="23"/>
  <c r="L349" i="23"/>
  <c r="F349" i="23"/>
  <c r="E349" i="23"/>
  <c r="C349" i="23"/>
  <c r="B349" i="23"/>
  <c r="P348" i="23"/>
  <c r="L348" i="23"/>
  <c r="F348" i="23"/>
  <c r="E348" i="23"/>
  <c r="C348" i="23"/>
  <c r="B348" i="23"/>
  <c r="P347" i="23"/>
  <c r="L347" i="23"/>
  <c r="F347" i="23"/>
  <c r="E347" i="23"/>
  <c r="C347" i="23"/>
  <c r="B347" i="23"/>
  <c r="P346" i="23"/>
  <c r="L346" i="23"/>
  <c r="F346" i="23"/>
  <c r="E346" i="23"/>
  <c r="C346" i="23"/>
  <c r="B346" i="23"/>
  <c r="P345" i="23"/>
  <c r="L345" i="23"/>
  <c r="F345" i="23"/>
  <c r="E345" i="23"/>
  <c r="C345" i="23"/>
  <c r="B345" i="23"/>
  <c r="P344" i="23"/>
  <c r="L344" i="23"/>
  <c r="F344" i="23"/>
  <c r="E344" i="23"/>
  <c r="C344" i="23"/>
  <c r="B344" i="23"/>
  <c r="P343" i="23"/>
  <c r="N343" i="23"/>
  <c r="N344" i="23"/>
  <c r="N345" i="23"/>
  <c r="N346" i="23"/>
  <c r="N347" i="23"/>
  <c r="N348" i="23"/>
  <c r="N349" i="23"/>
  <c r="N350" i="23"/>
  <c r="N351" i="23"/>
  <c r="L343" i="23"/>
  <c r="F343" i="23"/>
  <c r="E343" i="23"/>
  <c r="C343" i="23"/>
  <c r="B343" i="23"/>
  <c r="P342" i="23"/>
  <c r="L342" i="23"/>
  <c r="F342" i="23"/>
  <c r="E342" i="23"/>
  <c r="C342" i="23"/>
  <c r="B342" i="23"/>
  <c r="P341" i="23"/>
  <c r="L341" i="23"/>
  <c r="F341" i="23"/>
  <c r="E341" i="23"/>
  <c r="C341" i="23"/>
  <c r="B341" i="23"/>
  <c r="P340" i="23"/>
  <c r="L340" i="23"/>
  <c r="F340" i="23"/>
  <c r="E340" i="23"/>
  <c r="C340" i="23"/>
  <c r="B340" i="23"/>
  <c r="P339" i="23"/>
  <c r="L339" i="23"/>
  <c r="F339" i="23"/>
  <c r="E339" i="23"/>
  <c r="C339" i="23"/>
  <c r="B339" i="23"/>
  <c r="P338" i="23"/>
  <c r="L338" i="23"/>
  <c r="F338" i="23"/>
  <c r="E338" i="23"/>
  <c r="C338" i="23"/>
  <c r="B338" i="23"/>
  <c r="P337" i="23"/>
  <c r="L337" i="23"/>
  <c r="F337" i="23"/>
  <c r="E337" i="23"/>
  <c r="C337" i="23"/>
  <c r="B337" i="23"/>
  <c r="P336" i="23"/>
  <c r="L336" i="23"/>
  <c r="F336" i="23"/>
  <c r="E336" i="23"/>
  <c r="C336" i="23"/>
  <c r="B336" i="23"/>
  <c r="P335" i="23"/>
  <c r="L335" i="23"/>
  <c r="F335" i="23"/>
  <c r="E335" i="23"/>
  <c r="C335" i="23"/>
  <c r="B335" i="23"/>
  <c r="P334" i="23"/>
  <c r="L334" i="23"/>
  <c r="F334" i="23"/>
  <c r="E334" i="23"/>
  <c r="C334" i="23"/>
  <c r="B334" i="23"/>
  <c r="P333" i="23"/>
  <c r="N333" i="23"/>
  <c r="N334" i="23"/>
  <c r="N335" i="23"/>
  <c r="N336" i="23"/>
  <c r="N337" i="23"/>
  <c r="N338" i="23"/>
  <c r="N339" i="23"/>
  <c r="N340" i="23"/>
  <c r="N341" i="23"/>
  <c r="L333" i="23"/>
  <c r="F333" i="23"/>
  <c r="E333" i="23"/>
  <c r="C333" i="23"/>
  <c r="B333" i="23"/>
  <c r="P332" i="23"/>
  <c r="L332" i="23"/>
  <c r="F332" i="23"/>
  <c r="E332" i="23"/>
  <c r="C332" i="23"/>
  <c r="B332" i="23"/>
  <c r="P331" i="23"/>
  <c r="L331" i="23"/>
  <c r="F331" i="23"/>
  <c r="E331" i="23"/>
  <c r="C331" i="23"/>
  <c r="B331" i="23"/>
  <c r="P330" i="23"/>
  <c r="L330" i="23"/>
  <c r="F330" i="23"/>
  <c r="E330" i="23"/>
  <c r="C330" i="23"/>
  <c r="B330" i="23"/>
  <c r="P329" i="23"/>
  <c r="L329" i="23"/>
  <c r="F329" i="23"/>
  <c r="E329" i="23"/>
  <c r="C329" i="23"/>
  <c r="B329" i="23"/>
  <c r="P328" i="23"/>
  <c r="L328" i="23"/>
  <c r="F328" i="23"/>
  <c r="E328" i="23"/>
  <c r="C328" i="23"/>
  <c r="B328" i="23"/>
  <c r="P327" i="23"/>
  <c r="L327" i="23"/>
  <c r="F327" i="23"/>
  <c r="E327" i="23"/>
  <c r="C327" i="23"/>
  <c r="B327" i="23"/>
  <c r="P326" i="23"/>
  <c r="L326" i="23"/>
  <c r="F326" i="23"/>
  <c r="E326" i="23"/>
  <c r="C326" i="23"/>
  <c r="B326" i="23"/>
  <c r="P325" i="23"/>
  <c r="L325" i="23"/>
  <c r="F325" i="23"/>
  <c r="E325" i="23"/>
  <c r="C325" i="23"/>
  <c r="B325" i="23"/>
  <c r="P324" i="23"/>
  <c r="L324" i="23"/>
  <c r="F324" i="23"/>
  <c r="E324" i="23"/>
  <c r="C324" i="23"/>
  <c r="B324" i="23"/>
  <c r="P323" i="23"/>
  <c r="N323" i="23"/>
  <c r="N324" i="23"/>
  <c r="N325" i="23"/>
  <c r="N326" i="23"/>
  <c r="N327" i="23"/>
  <c r="N328" i="23"/>
  <c r="N329" i="23"/>
  <c r="N330" i="23"/>
  <c r="N331" i="23"/>
  <c r="L323" i="23"/>
  <c r="F323" i="23"/>
  <c r="E323" i="23"/>
  <c r="C323" i="23"/>
  <c r="B323" i="23"/>
  <c r="P322" i="23"/>
  <c r="L322" i="23"/>
  <c r="F322" i="23"/>
  <c r="E322" i="23"/>
  <c r="C322" i="23"/>
  <c r="B322" i="23"/>
  <c r="P321" i="23"/>
  <c r="L321" i="23"/>
  <c r="F321" i="23"/>
  <c r="E321" i="23"/>
  <c r="C321" i="23"/>
  <c r="B321" i="23"/>
  <c r="P320" i="23"/>
  <c r="L320" i="23"/>
  <c r="F320" i="23"/>
  <c r="E320" i="23"/>
  <c r="C320" i="23"/>
  <c r="B320" i="23"/>
  <c r="P319" i="23"/>
  <c r="L319" i="23"/>
  <c r="F319" i="23"/>
  <c r="E319" i="23"/>
  <c r="C319" i="23"/>
  <c r="B319" i="23"/>
  <c r="P318" i="23"/>
  <c r="L318" i="23"/>
  <c r="F318" i="23"/>
  <c r="E318" i="23"/>
  <c r="C318" i="23"/>
  <c r="B318" i="23"/>
  <c r="P317" i="23"/>
  <c r="L317" i="23"/>
  <c r="F317" i="23"/>
  <c r="E317" i="23"/>
  <c r="C317" i="23"/>
  <c r="B317" i="23"/>
  <c r="P316" i="23"/>
  <c r="L316" i="23"/>
  <c r="F316" i="23"/>
  <c r="E316" i="23"/>
  <c r="C316" i="23"/>
  <c r="B316" i="23"/>
  <c r="P315" i="23"/>
  <c r="L315" i="23"/>
  <c r="F315" i="23"/>
  <c r="E315" i="23"/>
  <c r="C315" i="23"/>
  <c r="B315" i="23"/>
  <c r="P314" i="23"/>
  <c r="L314" i="23"/>
  <c r="F314" i="23"/>
  <c r="E314" i="23"/>
  <c r="C314" i="23"/>
  <c r="B314" i="23"/>
  <c r="P313" i="23"/>
  <c r="L313" i="23"/>
  <c r="F313" i="23"/>
  <c r="E313" i="23"/>
  <c r="C313" i="23"/>
  <c r="B313" i="23"/>
  <c r="P312" i="23"/>
  <c r="N313" i="23"/>
  <c r="N314" i="23"/>
  <c r="N315" i="23"/>
  <c r="N316" i="23"/>
  <c r="N317" i="23"/>
  <c r="N318" i="23"/>
  <c r="N319" i="23"/>
  <c r="N320" i="23"/>
  <c r="N321" i="23"/>
  <c r="L312" i="23"/>
  <c r="F312" i="23"/>
  <c r="E312" i="23"/>
  <c r="C312" i="23"/>
  <c r="B312" i="23"/>
  <c r="P311" i="23"/>
  <c r="L311" i="23"/>
  <c r="F311" i="23"/>
  <c r="E311" i="23"/>
  <c r="C311" i="23"/>
  <c r="B311" i="23"/>
  <c r="P310" i="23"/>
  <c r="L310" i="23"/>
  <c r="F310" i="23"/>
  <c r="E310" i="23"/>
  <c r="C310" i="23"/>
  <c r="B310" i="23"/>
  <c r="P309" i="23"/>
  <c r="L309" i="23"/>
  <c r="F309" i="23"/>
  <c r="E309" i="23"/>
  <c r="C309" i="23"/>
  <c r="B309" i="23"/>
  <c r="P308" i="23"/>
  <c r="L308" i="23"/>
  <c r="F308" i="23"/>
  <c r="E308" i="23"/>
  <c r="C308" i="23"/>
  <c r="B308" i="23"/>
  <c r="P307" i="23"/>
  <c r="L307" i="23"/>
  <c r="F307" i="23"/>
  <c r="E307" i="23"/>
  <c r="C307" i="23"/>
  <c r="B307" i="23"/>
  <c r="P306" i="23"/>
  <c r="L306" i="23"/>
  <c r="F306" i="23"/>
  <c r="E306" i="23"/>
  <c r="C306" i="23"/>
  <c r="B306" i="23"/>
  <c r="P305" i="23"/>
  <c r="L305" i="23"/>
  <c r="F305" i="23"/>
  <c r="E305" i="23"/>
  <c r="C305" i="23"/>
  <c r="B305" i="23"/>
  <c r="P304" i="23"/>
  <c r="L304" i="23"/>
  <c r="F304" i="23"/>
  <c r="E304" i="23"/>
  <c r="C304" i="23"/>
  <c r="B304" i="23"/>
  <c r="P303" i="23"/>
  <c r="L303" i="23"/>
  <c r="F303" i="23"/>
  <c r="E303" i="23"/>
  <c r="C303" i="23"/>
  <c r="B303" i="23"/>
  <c r="P302" i="23"/>
  <c r="N303" i="23"/>
  <c r="N304" i="23"/>
  <c r="N305" i="23"/>
  <c r="N306" i="23"/>
  <c r="N307" i="23"/>
  <c r="N308" i="23"/>
  <c r="N309" i="23"/>
  <c r="N310" i="23"/>
  <c r="N311" i="23"/>
  <c r="L302" i="23"/>
  <c r="F302" i="23"/>
  <c r="E302" i="23"/>
  <c r="C302" i="23"/>
  <c r="B302" i="23"/>
  <c r="P301" i="23"/>
  <c r="L301" i="23"/>
  <c r="F301" i="23"/>
  <c r="E301" i="23"/>
  <c r="C301" i="23"/>
  <c r="B301" i="23"/>
  <c r="P300" i="23"/>
  <c r="L300" i="23"/>
  <c r="F300" i="23"/>
  <c r="E300" i="23"/>
  <c r="C300" i="23"/>
  <c r="B300" i="23"/>
  <c r="P299" i="23"/>
  <c r="L299" i="23"/>
  <c r="F299" i="23"/>
  <c r="E299" i="23"/>
  <c r="C299" i="23"/>
  <c r="B299" i="23"/>
  <c r="P298" i="23"/>
  <c r="L298" i="23"/>
  <c r="F298" i="23"/>
  <c r="E298" i="23"/>
  <c r="C298" i="23"/>
  <c r="B298" i="23"/>
  <c r="P297" i="23"/>
  <c r="L297" i="23"/>
  <c r="F297" i="23"/>
  <c r="E297" i="23"/>
  <c r="C297" i="23"/>
  <c r="B297" i="23"/>
  <c r="P296" i="23"/>
  <c r="L296" i="23"/>
  <c r="F296" i="23"/>
  <c r="E296" i="23"/>
  <c r="C296" i="23"/>
  <c r="B296" i="23"/>
  <c r="P295" i="23"/>
  <c r="L295" i="23"/>
  <c r="F295" i="23"/>
  <c r="E295" i="23"/>
  <c r="C295" i="23"/>
  <c r="B295" i="23"/>
  <c r="P294" i="23"/>
  <c r="L294" i="23"/>
  <c r="F294" i="23"/>
  <c r="E294" i="23"/>
  <c r="C294" i="23"/>
  <c r="B294" i="23"/>
  <c r="P293" i="23"/>
  <c r="L293" i="23"/>
  <c r="F293" i="23"/>
  <c r="E293" i="23"/>
  <c r="C293" i="23"/>
  <c r="B293" i="23"/>
  <c r="P292" i="23"/>
  <c r="N293" i="23"/>
  <c r="N294" i="23"/>
  <c r="N295" i="23"/>
  <c r="N296" i="23"/>
  <c r="N297" i="23"/>
  <c r="N298" i="23"/>
  <c r="N299" i="23"/>
  <c r="N300" i="23"/>
  <c r="N301" i="23"/>
  <c r="L292" i="23"/>
  <c r="F292" i="23"/>
  <c r="E292" i="23"/>
  <c r="C292" i="23"/>
  <c r="B292" i="23"/>
  <c r="P291" i="23"/>
  <c r="L291" i="23"/>
  <c r="F291" i="23"/>
  <c r="E291" i="23"/>
  <c r="C291" i="23"/>
  <c r="B291" i="23"/>
  <c r="P290" i="23"/>
  <c r="L290" i="23"/>
  <c r="F290" i="23"/>
  <c r="E290" i="23"/>
  <c r="C290" i="23"/>
  <c r="B290" i="23"/>
  <c r="P289" i="23"/>
  <c r="L289" i="23"/>
  <c r="F289" i="23"/>
  <c r="E289" i="23"/>
  <c r="C289" i="23"/>
  <c r="B289" i="23"/>
  <c r="P288" i="23"/>
  <c r="L288" i="23"/>
  <c r="F288" i="23"/>
  <c r="E288" i="23"/>
  <c r="C288" i="23"/>
  <c r="B288" i="23"/>
  <c r="P287" i="23"/>
  <c r="L287" i="23"/>
  <c r="F287" i="23"/>
  <c r="E287" i="23"/>
  <c r="C287" i="23"/>
  <c r="B287" i="23"/>
  <c r="P286" i="23"/>
  <c r="L286" i="23"/>
  <c r="F286" i="23"/>
  <c r="E286" i="23"/>
  <c r="C286" i="23"/>
  <c r="B286" i="23"/>
  <c r="P285" i="23"/>
  <c r="L285" i="23"/>
  <c r="F285" i="23"/>
  <c r="E285" i="23"/>
  <c r="C285" i="23"/>
  <c r="B285" i="23"/>
  <c r="P284" i="23"/>
  <c r="L284" i="23"/>
  <c r="F284" i="23"/>
  <c r="E284" i="23"/>
  <c r="C284" i="23"/>
  <c r="B284" i="23"/>
  <c r="P283" i="23"/>
  <c r="L283" i="23"/>
  <c r="F283" i="23"/>
  <c r="E283" i="23"/>
  <c r="C283" i="23"/>
  <c r="B283" i="23"/>
  <c r="P282" i="23"/>
  <c r="L282" i="23"/>
  <c r="F282" i="23"/>
  <c r="E282" i="23"/>
  <c r="C282" i="23"/>
  <c r="B282" i="23"/>
  <c r="P281" i="23"/>
  <c r="L281" i="23"/>
  <c r="F281" i="23"/>
  <c r="E281" i="23"/>
  <c r="C281" i="23"/>
  <c r="B281" i="23"/>
  <c r="P280" i="23"/>
  <c r="L280" i="23"/>
  <c r="F280" i="23"/>
  <c r="E280" i="23"/>
  <c r="C280" i="23"/>
  <c r="B280" i="23"/>
  <c r="P279" i="23"/>
  <c r="L279" i="23"/>
  <c r="F279" i="23"/>
  <c r="E279" i="23"/>
  <c r="C279" i="23"/>
  <c r="B279" i="23"/>
  <c r="P278" i="23"/>
  <c r="L278" i="23"/>
  <c r="F278" i="23"/>
  <c r="E278" i="23"/>
  <c r="C278" i="23"/>
  <c r="B278" i="23"/>
  <c r="P277" i="23"/>
  <c r="L277" i="23"/>
  <c r="F277" i="23"/>
  <c r="E277" i="23"/>
  <c r="C277" i="23"/>
  <c r="B277" i="23"/>
  <c r="P276" i="23"/>
  <c r="L276" i="23"/>
  <c r="F276" i="23"/>
  <c r="E276" i="23"/>
  <c r="C276" i="23"/>
  <c r="B276" i="23"/>
  <c r="P275" i="23"/>
  <c r="L275" i="23"/>
  <c r="F275" i="23"/>
  <c r="E275" i="23"/>
  <c r="C275" i="23"/>
  <c r="B275" i="23"/>
  <c r="P274" i="23"/>
  <c r="L274" i="23"/>
  <c r="F274" i="23"/>
  <c r="E274" i="23"/>
  <c r="C274" i="23"/>
  <c r="B274" i="23"/>
  <c r="P273" i="23"/>
  <c r="L273" i="23"/>
  <c r="F273" i="23"/>
  <c r="E273" i="23"/>
  <c r="C273" i="23"/>
  <c r="B273" i="23"/>
  <c r="P272" i="23"/>
  <c r="N273" i="23"/>
  <c r="N274" i="23"/>
  <c r="N275" i="23"/>
  <c r="N276" i="23"/>
  <c r="N277" i="23"/>
  <c r="N278" i="23"/>
  <c r="N279" i="23"/>
  <c r="N280" i="23"/>
  <c r="N281" i="23"/>
  <c r="L272" i="23"/>
  <c r="F272" i="23"/>
  <c r="E272" i="23"/>
  <c r="C272" i="23"/>
  <c r="B272" i="23"/>
  <c r="P271" i="23"/>
  <c r="L271" i="23"/>
  <c r="F271" i="23"/>
  <c r="E271" i="23"/>
  <c r="C271" i="23"/>
  <c r="B271" i="23"/>
  <c r="P270" i="23"/>
  <c r="L270" i="23"/>
  <c r="F270" i="23"/>
  <c r="E270" i="23"/>
  <c r="C270" i="23"/>
  <c r="B270" i="23"/>
  <c r="P269" i="23"/>
  <c r="L269" i="23"/>
  <c r="F269" i="23"/>
  <c r="E269" i="23"/>
  <c r="C269" i="23"/>
  <c r="B269" i="23"/>
  <c r="P268" i="23"/>
  <c r="L268" i="23"/>
  <c r="F268" i="23"/>
  <c r="E268" i="23"/>
  <c r="C268" i="23"/>
  <c r="B268" i="23"/>
  <c r="P267" i="23"/>
  <c r="L267" i="23"/>
  <c r="F267" i="23"/>
  <c r="E267" i="23"/>
  <c r="C267" i="23"/>
  <c r="B267" i="23"/>
  <c r="P266" i="23"/>
  <c r="L266" i="23"/>
  <c r="F266" i="23"/>
  <c r="E266" i="23"/>
  <c r="C266" i="23"/>
  <c r="B266" i="23"/>
  <c r="P265" i="23"/>
  <c r="L265" i="23"/>
  <c r="F265" i="23"/>
  <c r="E265" i="23"/>
  <c r="C265" i="23"/>
  <c r="B265" i="23"/>
  <c r="P264" i="23"/>
  <c r="L264" i="23"/>
  <c r="F264" i="23"/>
  <c r="E264" i="23"/>
  <c r="C264" i="23"/>
  <c r="B264" i="23"/>
  <c r="P263" i="23"/>
  <c r="L263" i="23"/>
  <c r="F263" i="23"/>
  <c r="E263" i="23"/>
  <c r="C263" i="23"/>
  <c r="B263" i="23"/>
  <c r="P262" i="23"/>
  <c r="N263" i="23"/>
  <c r="N264" i="23"/>
  <c r="N265" i="23"/>
  <c r="N266" i="23"/>
  <c r="N267" i="23"/>
  <c r="N268" i="23"/>
  <c r="N269" i="23"/>
  <c r="N270" i="23"/>
  <c r="N271" i="23"/>
  <c r="L262" i="23"/>
  <c r="F262" i="23"/>
  <c r="E262" i="23"/>
  <c r="C262" i="23"/>
  <c r="B262" i="23"/>
  <c r="P261" i="23"/>
  <c r="L261" i="23"/>
  <c r="F261" i="23"/>
  <c r="E261" i="23"/>
  <c r="C261" i="23"/>
  <c r="B261" i="23"/>
  <c r="P260" i="23"/>
  <c r="L260" i="23"/>
  <c r="F260" i="23"/>
  <c r="E260" i="23"/>
  <c r="C260" i="23"/>
  <c r="B260" i="23"/>
  <c r="P259" i="23"/>
  <c r="L259" i="23"/>
  <c r="F259" i="23"/>
  <c r="E259" i="23"/>
  <c r="C259" i="23"/>
  <c r="B259" i="23"/>
  <c r="P258" i="23"/>
  <c r="L258" i="23"/>
  <c r="F258" i="23"/>
  <c r="E258" i="23"/>
  <c r="C258" i="23"/>
  <c r="B258" i="23"/>
  <c r="P257" i="23"/>
  <c r="L257" i="23"/>
  <c r="F257" i="23"/>
  <c r="E257" i="23"/>
  <c r="C257" i="23"/>
  <c r="B257" i="23"/>
  <c r="P256" i="23"/>
  <c r="L256" i="23"/>
  <c r="F256" i="23"/>
  <c r="E256" i="23"/>
  <c r="C256" i="23"/>
  <c r="B256" i="23"/>
  <c r="P255" i="23"/>
  <c r="L255" i="23"/>
  <c r="F255" i="23"/>
  <c r="E255" i="23"/>
  <c r="C255" i="23"/>
  <c r="B255" i="23"/>
  <c r="P254" i="23"/>
  <c r="L254" i="23"/>
  <c r="F254" i="23"/>
  <c r="E254" i="23"/>
  <c r="C254" i="23"/>
  <c r="B254" i="23"/>
  <c r="P253" i="23"/>
  <c r="L253" i="23"/>
  <c r="F253" i="23"/>
  <c r="E253" i="23"/>
  <c r="C253" i="23"/>
  <c r="B253" i="23"/>
  <c r="P252" i="23"/>
  <c r="N253" i="23"/>
  <c r="N254" i="23"/>
  <c r="N255" i="23"/>
  <c r="N256" i="23"/>
  <c r="N257" i="23"/>
  <c r="N258" i="23"/>
  <c r="N259" i="23"/>
  <c r="N260" i="23"/>
  <c r="N261" i="23"/>
  <c r="L252" i="23"/>
  <c r="F252" i="23"/>
  <c r="E252" i="23"/>
  <c r="C252" i="23"/>
  <c r="B252" i="23"/>
  <c r="P251" i="23"/>
  <c r="L251" i="23"/>
  <c r="F251" i="23"/>
  <c r="E251" i="23"/>
  <c r="C251" i="23"/>
  <c r="B251" i="23"/>
  <c r="P250" i="23"/>
  <c r="L250" i="23"/>
  <c r="F250" i="23"/>
  <c r="E250" i="23"/>
  <c r="C250" i="23"/>
  <c r="B250" i="23"/>
  <c r="P249" i="23"/>
  <c r="L249" i="23"/>
  <c r="F249" i="23"/>
  <c r="E249" i="23"/>
  <c r="C249" i="23"/>
  <c r="B249" i="23"/>
  <c r="P248" i="23"/>
  <c r="L248" i="23"/>
  <c r="F248" i="23"/>
  <c r="E248" i="23"/>
  <c r="C248" i="23"/>
  <c r="B248" i="23"/>
  <c r="P247" i="23"/>
  <c r="L247" i="23"/>
  <c r="F247" i="23"/>
  <c r="E247" i="23"/>
  <c r="C247" i="23"/>
  <c r="B247" i="23"/>
  <c r="P246" i="23"/>
  <c r="L246" i="23"/>
  <c r="F246" i="23"/>
  <c r="E246" i="23"/>
  <c r="C246" i="23"/>
  <c r="B246" i="23"/>
  <c r="P245" i="23"/>
  <c r="L245" i="23"/>
  <c r="F245" i="23"/>
  <c r="E245" i="23"/>
  <c r="C245" i="23"/>
  <c r="B245" i="23"/>
  <c r="P244" i="23"/>
  <c r="L244" i="23"/>
  <c r="F244" i="23"/>
  <c r="E244" i="23"/>
  <c r="C244" i="23"/>
  <c r="B244" i="23"/>
  <c r="P243" i="23"/>
  <c r="M243" i="23"/>
  <c r="M244" i="23"/>
  <c r="M245" i="23" s="1"/>
  <c r="M246" i="23" s="1"/>
  <c r="M247" i="23" s="1"/>
  <c r="M248" i="23" s="1"/>
  <c r="M249" i="23" s="1"/>
  <c r="M250" i="23" s="1"/>
  <c r="M251" i="23" s="1"/>
  <c r="L243" i="23"/>
  <c r="F243" i="23"/>
  <c r="E243" i="23"/>
  <c r="C243" i="23"/>
  <c r="B243" i="23"/>
  <c r="P242" i="23"/>
  <c r="N243" i="23"/>
  <c r="N244" i="23"/>
  <c r="N245" i="23"/>
  <c r="N246" i="23"/>
  <c r="N247" i="23"/>
  <c r="N248" i="23"/>
  <c r="N249" i="23"/>
  <c r="N250" i="23"/>
  <c r="N251" i="23"/>
  <c r="L242" i="23"/>
  <c r="F242" i="23"/>
  <c r="E242" i="23"/>
  <c r="C242" i="23"/>
  <c r="B242" i="23"/>
  <c r="P241" i="23"/>
  <c r="L241" i="23"/>
  <c r="F241" i="23"/>
  <c r="E241" i="23"/>
  <c r="C241" i="23"/>
  <c r="B241" i="23"/>
  <c r="P240" i="23"/>
  <c r="L240" i="23"/>
  <c r="F240" i="23"/>
  <c r="E240" i="23"/>
  <c r="C240" i="23"/>
  <c r="B240" i="23"/>
  <c r="P239" i="23"/>
  <c r="L239" i="23"/>
  <c r="F239" i="23"/>
  <c r="E239" i="23"/>
  <c r="C239" i="23"/>
  <c r="B239" i="23"/>
  <c r="P238" i="23"/>
  <c r="L238" i="23"/>
  <c r="F238" i="23"/>
  <c r="E238" i="23"/>
  <c r="C238" i="23"/>
  <c r="B238" i="23"/>
  <c r="P237" i="23"/>
  <c r="L237" i="23"/>
  <c r="F237" i="23"/>
  <c r="E237" i="23"/>
  <c r="C237" i="23"/>
  <c r="B237" i="23"/>
  <c r="P236" i="23"/>
  <c r="L236" i="23"/>
  <c r="F236" i="23"/>
  <c r="E236" i="23"/>
  <c r="C236" i="23"/>
  <c r="B236" i="23"/>
  <c r="P235" i="23"/>
  <c r="L235" i="23"/>
  <c r="F235" i="23"/>
  <c r="E235" i="23"/>
  <c r="C235" i="23"/>
  <c r="B235" i="23"/>
  <c r="P234" i="23"/>
  <c r="L234" i="23"/>
  <c r="F234" i="23"/>
  <c r="E234" i="23"/>
  <c r="C234" i="23"/>
  <c r="B234" i="23"/>
  <c r="P233" i="23"/>
  <c r="L233" i="23"/>
  <c r="F233" i="23"/>
  <c r="E233" i="23"/>
  <c r="C233" i="23"/>
  <c r="B233" i="23"/>
  <c r="P232" i="23"/>
  <c r="N233" i="23"/>
  <c r="N234" i="23"/>
  <c r="N235" i="23"/>
  <c r="N236" i="23"/>
  <c r="N237" i="23"/>
  <c r="N238" i="23"/>
  <c r="N239" i="23"/>
  <c r="N240" i="23"/>
  <c r="N241" i="23"/>
  <c r="L232" i="23"/>
  <c r="F232" i="23"/>
  <c r="E232" i="23"/>
  <c r="C232" i="23"/>
  <c r="B232" i="23"/>
  <c r="P231" i="23"/>
  <c r="L231" i="23"/>
  <c r="F231" i="23"/>
  <c r="E231" i="23"/>
  <c r="C231" i="23"/>
  <c r="B231" i="23"/>
  <c r="P230" i="23"/>
  <c r="L230" i="23"/>
  <c r="F230" i="23"/>
  <c r="E230" i="23"/>
  <c r="C230" i="23"/>
  <c r="B230" i="23"/>
  <c r="P229" i="23"/>
  <c r="L229" i="23"/>
  <c r="F229" i="23"/>
  <c r="E229" i="23"/>
  <c r="C229" i="23"/>
  <c r="B229" i="23"/>
  <c r="P228" i="23"/>
  <c r="L228" i="23"/>
  <c r="F228" i="23"/>
  <c r="E228" i="23"/>
  <c r="C228" i="23"/>
  <c r="B228" i="23"/>
  <c r="P227" i="23"/>
  <c r="L227" i="23"/>
  <c r="F227" i="23"/>
  <c r="E227" i="23"/>
  <c r="C227" i="23"/>
  <c r="B227" i="23"/>
  <c r="P226" i="23"/>
  <c r="L226" i="23"/>
  <c r="F226" i="23"/>
  <c r="E226" i="23"/>
  <c r="C226" i="23"/>
  <c r="B226" i="23"/>
  <c r="P225" i="23"/>
  <c r="L225" i="23"/>
  <c r="F225" i="23"/>
  <c r="E225" i="23"/>
  <c r="C225" i="23"/>
  <c r="B225" i="23"/>
  <c r="P224" i="23"/>
  <c r="L224" i="23"/>
  <c r="F224" i="23"/>
  <c r="E224" i="23"/>
  <c r="C224" i="23"/>
  <c r="B224" i="23"/>
  <c r="P223" i="23"/>
  <c r="L223" i="23"/>
  <c r="F223" i="23"/>
  <c r="E223" i="23"/>
  <c r="C223" i="23"/>
  <c r="B223" i="23"/>
  <c r="P222" i="23"/>
  <c r="N223" i="23"/>
  <c r="N224" i="23"/>
  <c r="N225" i="23"/>
  <c r="N226" i="23"/>
  <c r="N227" i="23"/>
  <c r="N228" i="23"/>
  <c r="N229" i="23"/>
  <c r="N230" i="23"/>
  <c r="N231" i="23"/>
  <c r="L222" i="23"/>
  <c r="F222" i="23"/>
  <c r="E222" i="23"/>
  <c r="C222" i="23"/>
  <c r="B222" i="23"/>
  <c r="P221" i="23"/>
  <c r="L221" i="23"/>
  <c r="F221" i="23"/>
  <c r="E221" i="23"/>
  <c r="C221" i="23"/>
  <c r="B221" i="23"/>
  <c r="P220" i="23"/>
  <c r="L220" i="23"/>
  <c r="F220" i="23"/>
  <c r="E220" i="23"/>
  <c r="C220" i="23"/>
  <c r="B220" i="23"/>
  <c r="P219" i="23"/>
  <c r="L219" i="23"/>
  <c r="F219" i="23"/>
  <c r="E219" i="23"/>
  <c r="C219" i="23"/>
  <c r="B219" i="23"/>
  <c r="P218" i="23"/>
  <c r="L218" i="23"/>
  <c r="F218" i="23"/>
  <c r="E218" i="23"/>
  <c r="C218" i="23"/>
  <c r="B218" i="23"/>
  <c r="P217" i="23"/>
  <c r="L217" i="23"/>
  <c r="F217" i="23"/>
  <c r="E217" i="23"/>
  <c r="C217" i="23"/>
  <c r="B217" i="23"/>
  <c r="P216" i="23"/>
  <c r="L216" i="23"/>
  <c r="F216" i="23"/>
  <c r="E216" i="23"/>
  <c r="C216" i="23"/>
  <c r="B216" i="23"/>
  <c r="P215" i="23"/>
  <c r="L215" i="23"/>
  <c r="F215" i="23"/>
  <c r="E215" i="23"/>
  <c r="C215" i="23"/>
  <c r="B215" i="23"/>
  <c r="P214" i="23"/>
  <c r="L214" i="23"/>
  <c r="F214" i="23"/>
  <c r="E214" i="23"/>
  <c r="C214" i="23"/>
  <c r="B214" i="23"/>
  <c r="P213" i="23"/>
  <c r="L213" i="23"/>
  <c r="F213" i="23"/>
  <c r="E213" i="23"/>
  <c r="C213" i="23"/>
  <c r="B213" i="23"/>
  <c r="P212" i="23"/>
  <c r="N213" i="23"/>
  <c r="N214" i="23"/>
  <c r="N215" i="23"/>
  <c r="N216" i="23"/>
  <c r="N217" i="23"/>
  <c r="N218" i="23"/>
  <c r="N219" i="23"/>
  <c r="N220" i="23"/>
  <c r="N221" i="23"/>
  <c r="L212" i="23"/>
  <c r="F212" i="23"/>
  <c r="E212" i="23"/>
  <c r="C212" i="23"/>
  <c r="B212" i="23"/>
  <c r="P211" i="23"/>
  <c r="L211" i="23"/>
  <c r="F211" i="23"/>
  <c r="E211" i="23"/>
  <c r="C211" i="23"/>
  <c r="B211" i="23"/>
  <c r="P210" i="23"/>
  <c r="L210" i="23"/>
  <c r="F210" i="23"/>
  <c r="E210" i="23"/>
  <c r="C210" i="23"/>
  <c r="B210" i="23"/>
  <c r="P209" i="23"/>
  <c r="L209" i="23"/>
  <c r="F209" i="23"/>
  <c r="E209" i="23"/>
  <c r="C209" i="23"/>
  <c r="B209" i="23"/>
  <c r="P208" i="23"/>
  <c r="L208" i="23"/>
  <c r="F208" i="23"/>
  <c r="E208" i="23"/>
  <c r="C208" i="23"/>
  <c r="B208" i="23"/>
  <c r="P207" i="23"/>
  <c r="L207" i="23"/>
  <c r="F207" i="23"/>
  <c r="E207" i="23"/>
  <c r="C207" i="23"/>
  <c r="B207" i="23"/>
  <c r="P206" i="23"/>
  <c r="L206" i="23"/>
  <c r="F206" i="23"/>
  <c r="E206" i="23"/>
  <c r="C206" i="23"/>
  <c r="B206" i="23"/>
  <c r="P205" i="23"/>
  <c r="L205" i="23"/>
  <c r="F205" i="23"/>
  <c r="E205" i="23"/>
  <c r="C205" i="23"/>
  <c r="B205" i="23"/>
  <c r="P204" i="23"/>
  <c r="L204" i="23"/>
  <c r="F204" i="23"/>
  <c r="E204" i="23"/>
  <c r="C204" i="23"/>
  <c r="B204" i="23"/>
  <c r="P203" i="23"/>
  <c r="L203" i="23"/>
  <c r="F203" i="23"/>
  <c r="E203" i="23"/>
  <c r="C203" i="23"/>
  <c r="B203" i="23"/>
  <c r="P202" i="23"/>
  <c r="L202" i="23"/>
  <c r="F202" i="23"/>
  <c r="E202" i="23"/>
  <c r="C202" i="23"/>
  <c r="B202" i="23"/>
  <c r="P201" i="23"/>
  <c r="L201" i="23"/>
  <c r="F201" i="23"/>
  <c r="E201" i="23"/>
  <c r="C201" i="23"/>
  <c r="B201" i="23"/>
  <c r="P200" i="23"/>
  <c r="L200" i="23"/>
  <c r="F200" i="23"/>
  <c r="E200" i="23"/>
  <c r="C200" i="23"/>
  <c r="B200" i="23"/>
  <c r="P199" i="23"/>
  <c r="L199" i="23"/>
  <c r="F199" i="23"/>
  <c r="E199" i="23"/>
  <c r="C199" i="23"/>
  <c r="B199" i="23"/>
  <c r="P198" i="23"/>
  <c r="L198" i="23"/>
  <c r="F198" i="23"/>
  <c r="E198" i="23"/>
  <c r="C198" i="23"/>
  <c r="B198" i="23"/>
  <c r="P197" i="23"/>
  <c r="L197" i="23"/>
  <c r="F197" i="23"/>
  <c r="E197" i="23"/>
  <c r="C197" i="23"/>
  <c r="B197" i="23"/>
  <c r="P196" i="23"/>
  <c r="L196" i="23"/>
  <c r="F196" i="23"/>
  <c r="E196" i="23"/>
  <c r="C196" i="23"/>
  <c r="B196" i="23"/>
  <c r="P195" i="23"/>
  <c r="L195" i="23"/>
  <c r="F195" i="23"/>
  <c r="E195" i="23"/>
  <c r="C195" i="23"/>
  <c r="B195" i="23"/>
  <c r="P194" i="23"/>
  <c r="L194" i="23"/>
  <c r="F194" i="23"/>
  <c r="E194" i="23"/>
  <c r="C194" i="23"/>
  <c r="B194" i="23"/>
  <c r="P193" i="23"/>
  <c r="N193" i="23"/>
  <c r="N194" i="23"/>
  <c r="N195" i="23"/>
  <c r="N196" i="23"/>
  <c r="N197" i="23"/>
  <c r="N198" i="23"/>
  <c r="N199" i="23"/>
  <c r="N200" i="23"/>
  <c r="N201" i="23"/>
  <c r="L193" i="23"/>
  <c r="F193" i="23"/>
  <c r="E193" i="23"/>
  <c r="C193" i="23"/>
  <c r="B193" i="23"/>
  <c r="P192" i="23"/>
  <c r="L192" i="23"/>
  <c r="F192" i="23"/>
  <c r="E192" i="23"/>
  <c r="C192" i="23"/>
  <c r="B192" i="23"/>
  <c r="P191" i="23"/>
  <c r="L191" i="23"/>
  <c r="F191" i="23"/>
  <c r="E191" i="23"/>
  <c r="C191" i="23"/>
  <c r="B191" i="23"/>
  <c r="P190" i="23"/>
  <c r="L190" i="23"/>
  <c r="F190" i="23"/>
  <c r="E190" i="23"/>
  <c r="C190" i="23"/>
  <c r="B190" i="23"/>
  <c r="P189" i="23"/>
  <c r="L189" i="23"/>
  <c r="F189" i="23"/>
  <c r="E189" i="23"/>
  <c r="C189" i="23"/>
  <c r="B189" i="23"/>
  <c r="P188" i="23"/>
  <c r="L188" i="23"/>
  <c r="F188" i="23"/>
  <c r="E188" i="23"/>
  <c r="C188" i="23"/>
  <c r="B188" i="23"/>
  <c r="P187" i="23"/>
  <c r="L187" i="23"/>
  <c r="F187" i="23"/>
  <c r="E187" i="23"/>
  <c r="C187" i="23"/>
  <c r="B187" i="23"/>
  <c r="P186" i="23"/>
  <c r="L186" i="23"/>
  <c r="F186" i="23"/>
  <c r="E186" i="23"/>
  <c r="C186" i="23"/>
  <c r="B186" i="23"/>
  <c r="P185" i="23"/>
  <c r="L185" i="23"/>
  <c r="F185" i="23"/>
  <c r="E185" i="23"/>
  <c r="C185" i="23"/>
  <c r="B185" i="23"/>
  <c r="P184" i="23"/>
  <c r="L184" i="23"/>
  <c r="F184" i="23"/>
  <c r="E184" i="23"/>
  <c r="C184" i="23"/>
  <c r="B184" i="23"/>
  <c r="P183" i="23"/>
  <c r="L183" i="23"/>
  <c r="F183" i="23"/>
  <c r="E183" i="23"/>
  <c r="C183" i="23"/>
  <c r="B183" i="23"/>
  <c r="P182" i="23"/>
  <c r="N183" i="23"/>
  <c r="N184" i="23"/>
  <c r="N185" i="23"/>
  <c r="N186" i="23"/>
  <c r="N187" i="23"/>
  <c r="N188" i="23"/>
  <c r="N189" i="23"/>
  <c r="N190" i="23"/>
  <c r="N191" i="23"/>
  <c r="L182" i="23"/>
  <c r="F182" i="23"/>
  <c r="E182" i="23"/>
  <c r="C182" i="23"/>
  <c r="B182" i="23"/>
  <c r="P181" i="23"/>
  <c r="L181" i="23"/>
  <c r="F181" i="23"/>
  <c r="E181" i="23"/>
  <c r="C181" i="23"/>
  <c r="B181" i="23"/>
  <c r="P180" i="23"/>
  <c r="L180" i="23"/>
  <c r="F180" i="23"/>
  <c r="E180" i="23"/>
  <c r="C180" i="23"/>
  <c r="B180" i="23"/>
  <c r="P179" i="23"/>
  <c r="L179" i="23"/>
  <c r="F179" i="23"/>
  <c r="E179" i="23"/>
  <c r="C179" i="23"/>
  <c r="B179" i="23"/>
  <c r="P178" i="23"/>
  <c r="L178" i="23"/>
  <c r="F178" i="23"/>
  <c r="E178" i="23"/>
  <c r="C178" i="23"/>
  <c r="B178" i="23"/>
  <c r="P177" i="23"/>
  <c r="L177" i="23"/>
  <c r="F177" i="23"/>
  <c r="E177" i="23"/>
  <c r="C177" i="23"/>
  <c r="B177" i="23"/>
  <c r="P176" i="23"/>
  <c r="L176" i="23"/>
  <c r="F176" i="23"/>
  <c r="E176" i="23"/>
  <c r="C176" i="23"/>
  <c r="B176" i="23"/>
  <c r="P175" i="23"/>
  <c r="L175" i="23"/>
  <c r="F175" i="23"/>
  <c r="E175" i="23"/>
  <c r="C175" i="23"/>
  <c r="B175" i="23"/>
  <c r="P174" i="23"/>
  <c r="L174" i="23"/>
  <c r="F174" i="23"/>
  <c r="E174" i="23"/>
  <c r="C174" i="23"/>
  <c r="B174" i="23"/>
  <c r="P173" i="23"/>
  <c r="L173" i="23"/>
  <c r="F173" i="23"/>
  <c r="E173" i="23"/>
  <c r="C173" i="23"/>
  <c r="B173" i="23"/>
  <c r="P172" i="23"/>
  <c r="N173" i="23"/>
  <c r="N174" i="23"/>
  <c r="N175" i="23"/>
  <c r="N176" i="23"/>
  <c r="N177" i="23"/>
  <c r="N178" i="23"/>
  <c r="N179" i="23"/>
  <c r="N180" i="23"/>
  <c r="N181" i="23"/>
  <c r="L172" i="23"/>
  <c r="F172" i="23"/>
  <c r="E172" i="23"/>
  <c r="C172" i="23"/>
  <c r="B172" i="23"/>
  <c r="P171" i="23"/>
  <c r="L171" i="23"/>
  <c r="F171" i="23"/>
  <c r="E171" i="23"/>
  <c r="C171" i="23"/>
  <c r="B171" i="23"/>
  <c r="P170" i="23"/>
  <c r="L170" i="23"/>
  <c r="F170" i="23"/>
  <c r="E170" i="23"/>
  <c r="C170" i="23"/>
  <c r="B170" i="23"/>
  <c r="P169" i="23"/>
  <c r="L169" i="23"/>
  <c r="F169" i="23"/>
  <c r="E169" i="23"/>
  <c r="C169" i="23"/>
  <c r="B169" i="23"/>
  <c r="P168" i="23"/>
  <c r="L168" i="23"/>
  <c r="F168" i="23"/>
  <c r="E168" i="23"/>
  <c r="C168" i="23"/>
  <c r="B168" i="23"/>
  <c r="P167" i="23"/>
  <c r="L167" i="23"/>
  <c r="F167" i="23"/>
  <c r="E167" i="23"/>
  <c r="C167" i="23"/>
  <c r="B167" i="23"/>
  <c r="P166" i="23"/>
  <c r="L166" i="23"/>
  <c r="F166" i="23"/>
  <c r="E166" i="23"/>
  <c r="C166" i="23"/>
  <c r="B166" i="23"/>
  <c r="P165" i="23"/>
  <c r="L165" i="23"/>
  <c r="F165" i="23"/>
  <c r="E165" i="23"/>
  <c r="C165" i="23"/>
  <c r="B165" i="23"/>
  <c r="P164" i="23"/>
  <c r="L164" i="23"/>
  <c r="F164" i="23"/>
  <c r="E164" i="23"/>
  <c r="C164" i="23"/>
  <c r="B164" i="23"/>
  <c r="P163" i="23"/>
  <c r="L163" i="23"/>
  <c r="F163" i="23"/>
  <c r="E163" i="23"/>
  <c r="C163" i="23"/>
  <c r="B163" i="23"/>
  <c r="P162" i="23"/>
  <c r="N163" i="23"/>
  <c r="N164" i="23"/>
  <c r="N165" i="23"/>
  <c r="N166" i="23"/>
  <c r="N167" i="23"/>
  <c r="N168" i="23"/>
  <c r="N169" i="23"/>
  <c r="N170" i="23"/>
  <c r="N171" i="23"/>
  <c r="L162" i="23"/>
  <c r="F162" i="23"/>
  <c r="E162" i="23"/>
  <c r="C162" i="23"/>
  <c r="B162" i="23"/>
  <c r="P161" i="23"/>
  <c r="L161" i="23"/>
  <c r="F161" i="23"/>
  <c r="E161" i="23"/>
  <c r="C161" i="23"/>
  <c r="B161" i="23"/>
  <c r="P160" i="23"/>
  <c r="L160" i="23"/>
  <c r="F160" i="23"/>
  <c r="E160" i="23"/>
  <c r="C160" i="23"/>
  <c r="B160" i="23"/>
  <c r="P159" i="23"/>
  <c r="L159" i="23"/>
  <c r="F159" i="23"/>
  <c r="E159" i="23"/>
  <c r="C159" i="23"/>
  <c r="B159" i="23"/>
  <c r="P158" i="23"/>
  <c r="L158" i="23"/>
  <c r="F158" i="23"/>
  <c r="E158" i="23"/>
  <c r="C158" i="23"/>
  <c r="B158" i="23"/>
  <c r="P157" i="23"/>
  <c r="L157" i="23"/>
  <c r="F157" i="23"/>
  <c r="E157" i="23"/>
  <c r="C157" i="23"/>
  <c r="B157" i="23"/>
  <c r="P156" i="23"/>
  <c r="L156" i="23"/>
  <c r="F156" i="23"/>
  <c r="E156" i="23"/>
  <c r="C156" i="23"/>
  <c r="B156" i="23"/>
  <c r="P155" i="23"/>
  <c r="L155" i="23"/>
  <c r="F155" i="23"/>
  <c r="E155" i="23"/>
  <c r="C155" i="23"/>
  <c r="B155" i="23"/>
  <c r="P154" i="23"/>
  <c r="L154" i="23"/>
  <c r="F154" i="23"/>
  <c r="E154" i="23"/>
  <c r="C154" i="23"/>
  <c r="B154" i="23"/>
  <c r="P153" i="23"/>
  <c r="N153" i="23"/>
  <c r="N154" i="23"/>
  <c r="N155" i="23"/>
  <c r="N156" i="23"/>
  <c r="N157" i="23"/>
  <c r="N158" i="23"/>
  <c r="N159" i="23"/>
  <c r="N160" i="23"/>
  <c r="N161" i="23"/>
  <c r="L153" i="23"/>
  <c r="F153" i="23"/>
  <c r="E153" i="23"/>
  <c r="C153" i="23"/>
  <c r="B153" i="23"/>
  <c r="P152" i="23"/>
  <c r="L152" i="23"/>
  <c r="F152" i="23"/>
  <c r="E152" i="23"/>
  <c r="C152" i="23"/>
  <c r="B152" i="23"/>
  <c r="P151" i="23"/>
  <c r="L151" i="23"/>
  <c r="F151" i="23"/>
  <c r="E151" i="23"/>
  <c r="C151" i="23"/>
  <c r="B151" i="23"/>
  <c r="P150" i="23"/>
  <c r="L150" i="23"/>
  <c r="F150" i="23"/>
  <c r="E150" i="23"/>
  <c r="C150" i="23"/>
  <c r="B150" i="23"/>
  <c r="P149" i="23"/>
  <c r="L149" i="23"/>
  <c r="F149" i="23"/>
  <c r="E149" i="23"/>
  <c r="C149" i="23"/>
  <c r="B149" i="23"/>
  <c r="P148" i="23"/>
  <c r="L148" i="23"/>
  <c r="F148" i="23"/>
  <c r="E148" i="23"/>
  <c r="C148" i="23"/>
  <c r="B148" i="23"/>
  <c r="P147" i="23"/>
  <c r="L147" i="23"/>
  <c r="F147" i="23"/>
  <c r="E147" i="23"/>
  <c r="C147" i="23"/>
  <c r="B147" i="23"/>
  <c r="P146" i="23"/>
  <c r="L146" i="23"/>
  <c r="F146" i="23"/>
  <c r="E146" i="23"/>
  <c r="C146" i="23"/>
  <c r="B146" i="23"/>
  <c r="P145" i="23"/>
  <c r="L145" i="23"/>
  <c r="F145" i="23"/>
  <c r="E145" i="23"/>
  <c r="C145" i="23"/>
  <c r="B145" i="23"/>
  <c r="P144" i="23"/>
  <c r="L144" i="23"/>
  <c r="F144" i="23"/>
  <c r="E144" i="23"/>
  <c r="C144" i="23"/>
  <c r="B144" i="23"/>
  <c r="P143" i="23"/>
  <c r="L143" i="23"/>
  <c r="F143" i="23"/>
  <c r="E143" i="23"/>
  <c r="C143" i="23"/>
  <c r="B143" i="23"/>
  <c r="P142" i="23"/>
  <c r="N143" i="23"/>
  <c r="N144" i="23"/>
  <c r="N145" i="23"/>
  <c r="N146" i="23"/>
  <c r="N147" i="23"/>
  <c r="N148" i="23"/>
  <c r="N149" i="23"/>
  <c r="N150" i="23"/>
  <c r="N151" i="23"/>
  <c r="L142" i="23"/>
  <c r="F142" i="23"/>
  <c r="E142" i="23"/>
  <c r="C142" i="23"/>
  <c r="B142" i="23"/>
  <c r="P141" i="23"/>
  <c r="L141" i="23"/>
  <c r="F141" i="23"/>
  <c r="E141" i="23"/>
  <c r="C141" i="23"/>
  <c r="B141" i="23"/>
  <c r="P140" i="23"/>
  <c r="L140" i="23"/>
  <c r="F140" i="23"/>
  <c r="E140" i="23"/>
  <c r="C140" i="23"/>
  <c r="B140" i="23"/>
  <c r="P139" i="23"/>
  <c r="L139" i="23"/>
  <c r="F139" i="23"/>
  <c r="E139" i="23"/>
  <c r="C139" i="23"/>
  <c r="B139" i="23"/>
  <c r="P138" i="23"/>
  <c r="L138" i="23"/>
  <c r="F138" i="23"/>
  <c r="E138" i="23"/>
  <c r="C138" i="23"/>
  <c r="B138" i="23"/>
  <c r="P137" i="23"/>
  <c r="L137" i="23"/>
  <c r="F137" i="23"/>
  <c r="E137" i="23"/>
  <c r="C137" i="23"/>
  <c r="B137" i="23"/>
  <c r="P136" i="23"/>
  <c r="L136" i="23"/>
  <c r="F136" i="23"/>
  <c r="E136" i="23"/>
  <c r="C136" i="23"/>
  <c r="B136" i="23"/>
  <c r="P135" i="23"/>
  <c r="L135" i="23"/>
  <c r="F135" i="23"/>
  <c r="E135" i="23"/>
  <c r="C135" i="23"/>
  <c r="B135" i="23"/>
  <c r="P134" i="23"/>
  <c r="L134" i="23"/>
  <c r="F134" i="23"/>
  <c r="E134" i="23"/>
  <c r="C134" i="23"/>
  <c r="B134" i="23"/>
  <c r="P133" i="23"/>
  <c r="L133" i="23"/>
  <c r="F133" i="23"/>
  <c r="E133" i="23"/>
  <c r="C133" i="23"/>
  <c r="B133" i="23"/>
  <c r="P132" i="23"/>
  <c r="N133" i="23"/>
  <c r="N134" i="23"/>
  <c r="N135" i="23"/>
  <c r="N136" i="23"/>
  <c r="N137" i="23"/>
  <c r="N138" i="23"/>
  <c r="N139" i="23"/>
  <c r="N140" i="23"/>
  <c r="N141" i="23"/>
  <c r="L132" i="23"/>
  <c r="F132" i="23"/>
  <c r="E132" i="23"/>
  <c r="C132" i="23"/>
  <c r="B132" i="23"/>
  <c r="P131" i="23"/>
  <c r="L131" i="23"/>
  <c r="F131" i="23"/>
  <c r="E131" i="23"/>
  <c r="C131" i="23"/>
  <c r="B131" i="23"/>
  <c r="P130" i="23"/>
  <c r="L130" i="23"/>
  <c r="F130" i="23"/>
  <c r="E130" i="23"/>
  <c r="C130" i="23"/>
  <c r="B130" i="23"/>
  <c r="P129" i="23"/>
  <c r="L129" i="23"/>
  <c r="F129" i="23"/>
  <c r="E129" i="23"/>
  <c r="C129" i="23"/>
  <c r="B129" i="23"/>
  <c r="P128" i="23"/>
  <c r="L128" i="23"/>
  <c r="F128" i="23"/>
  <c r="E128" i="23"/>
  <c r="C128" i="23"/>
  <c r="B128" i="23"/>
  <c r="P127" i="23"/>
  <c r="L127" i="23"/>
  <c r="F127" i="23"/>
  <c r="E127" i="23"/>
  <c r="C127" i="23"/>
  <c r="B127" i="23"/>
  <c r="P126" i="23"/>
  <c r="L126" i="23"/>
  <c r="F126" i="23"/>
  <c r="E126" i="23"/>
  <c r="C126" i="23"/>
  <c r="B126" i="23"/>
  <c r="P125" i="23"/>
  <c r="L125" i="23"/>
  <c r="F125" i="23"/>
  <c r="E125" i="23"/>
  <c r="C125" i="23"/>
  <c r="B125" i="23"/>
  <c r="P124" i="23"/>
  <c r="L124" i="23"/>
  <c r="F124" i="23"/>
  <c r="E124" i="23"/>
  <c r="C124" i="23"/>
  <c r="B124" i="23"/>
  <c r="P123" i="23"/>
  <c r="L123" i="23"/>
  <c r="F123" i="23"/>
  <c r="E123" i="23"/>
  <c r="C123" i="23"/>
  <c r="B123" i="23"/>
  <c r="P122" i="23"/>
  <c r="N123" i="23"/>
  <c r="N124" i="23"/>
  <c r="N125" i="23"/>
  <c r="N126" i="23"/>
  <c r="N127" i="23"/>
  <c r="N128" i="23"/>
  <c r="N129" i="23"/>
  <c r="N130" i="23"/>
  <c r="N131" i="23"/>
  <c r="L122" i="23"/>
  <c r="F122" i="23"/>
  <c r="E122" i="23"/>
  <c r="C122" i="23"/>
  <c r="B122" i="23"/>
  <c r="P121" i="23"/>
  <c r="L121" i="23"/>
  <c r="F121" i="23"/>
  <c r="E121" i="23"/>
  <c r="C121" i="23"/>
  <c r="B121" i="23"/>
  <c r="P120" i="23"/>
  <c r="L120" i="23"/>
  <c r="F120" i="23"/>
  <c r="E120" i="23"/>
  <c r="C120" i="23"/>
  <c r="B120" i="23"/>
  <c r="P119" i="23"/>
  <c r="L119" i="23"/>
  <c r="F119" i="23"/>
  <c r="E119" i="23"/>
  <c r="C119" i="23"/>
  <c r="B119" i="23"/>
  <c r="P118" i="23"/>
  <c r="L118" i="23"/>
  <c r="F118" i="23"/>
  <c r="E118" i="23"/>
  <c r="C118" i="23"/>
  <c r="B118" i="23"/>
  <c r="P117" i="23"/>
  <c r="L117" i="23"/>
  <c r="F117" i="23"/>
  <c r="E117" i="23"/>
  <c r="C117" i="23"/>
  <c r="B117" i="23"/>
  <c r="P116" i="23"/>
  <c r="L116" i="23"/>
  <c r="F116" i="23"/>
  <c r="E116" i="23"/>
  <c r="C116" i="23"/>
  <c r="B116" i="23"/>
  <c r="P115" i="23"/>
  <c r="L115" i="23"/>
  <c r="F115" i="23"/>
  <c r="E115" i="23"/>
  <c r="C115" i="23"/>
  <c r="B115" i="23"/>
  <c r="P114" i="23"/>
  <c r="L114" i="23"/>
  <c r="F114" i="23"/>
  <c r="E114" i="23"/>
  <c r="C114" i="23"/>
  <c r="B114" i="23"/>
  <c r="P113" i="23"/>
  <c r="N113" i="23"/>
  <c r="N114" i="23"/>
  <c r="N115" i="23"/>
  <c r="N116" i="23"/>
  <c r="N117" i="23"/>
  <c r="N118" i="23"/>
  <c r="N119" i="23"/>
  <c r="N120" i="23"/>
  <c r="N121" i="23"/>
  <c r="L113" i="23"/>
  <c r="F113" i="23"/>
  <c r="E113" i="23"/>
  <c r="C113" i="23"/>
  <c r="B113" i="23"/>
  <c r="P112" i="23"/>
  <c r="L112" i="23"/>
  <c r="F112" i="23"/>
  <c r="E112" i="23"/>
  <c r="C112" i="23"/>
  <c r="B112" i="23"/>
  <c r="P111" i="23"/>
  <c r="L111" i="23"/>
  <c r="F111" i="23"/>
  <c r="E111" i="23"/>
  <c r="C111" i="23"/>
  <c r="B111" i="23"/>
  <c r="P110" i="23"/>
  <c r="L110" i="23"/>
  <c r="F110" i="23"/>
  <c r="E110" i="23"/>
  <c r="C110" i="23"/>
  <c r="B110" i="23"/>
  <c r="P109" i="23"/>
  <c r="L109" i="23"/>
  <c r="F109" i="23"/>
  <c r="E109" i="23"/>
  <c r="C109" i="23"/>
  <c r="B109" i="23"/>
  <c r="P108" i="23"/>
  <c r="L108" i="23"/>
  <c r="F108" i="23"/>
  <c r="E108" i="23"/>
  <c r="C108" i="23"/>
  <c r="B108" i="23"/>
  <c r="P107" i="23"/>
  <c r="L107" i="23"/>
  <c r="F107" i="23"/>
  <c r="E107" i="23"/>
  <c r="C107" i="23"/>
  <c r="B107" i="23"/>
  <c r="P106" i="23"/>
  <c r="L106" i="23"/>
  <c r="F106" i="23"/>
  <c r="E106" i="23"/>
  <c r="C106" i="23"/>
  <c r="B106" i="23"/>
  <c r="P105" i="23"/>
  <c r="L105" i="23"/>
  <c r="F105" i="23"/>
  <c r="E105" i="23"/>
  <c r="C105" i="23"/>
  <c r="B105" i="23"/>
  <c r="P104" i="23"/>
  <c r="L104" i="23"/>
  <c r="F104" i="23"/>
  <c r="E104" i="23"/>
  <c r="C104" i="23"/>
  <c r="B104" i="23"/>
  <c r="P103" i="23"/>
  <c r="N103" i="23"/>
  <c r="N104" i="23"/>
  <c r="N105" i="23"/>
  <c r="N106" i="23"/>
  <c r="N107" i="23"/>
  <c r="N108" i="23"/>
  <c r="N109" i="23"/>
  <c r="N110" i="23"/>
  <c r="N111" i="23"/>
  <c r="L103" i="23"/>
  <c r="F103" i="23"/>
  <c r="E103" i="23"/>
  <c r="C103" i="23"/>
  <c r="B103" i="23"/>
  <c r="P102" i="23"/>
  <c r="L102" i="23"/>
  <c r="F102" i="23"/>
  <c r="E102" i="23"/>
  <c r="C102" i="23"/>
  <c r="B102" i="23"/>
  <c r="P101" i="23"/>
  <c r="L101" i="23"/>
  <c r="F101" i="23"/>
  <c r="E101" i="23"/>
  <c r="C101" i="23"/>
  <c r="B101" i="23"/>
  <c r="P100" i="23"/>
  <c r="L100" i="23"/>
  <c r="F100" i="23"/>
  <c r="E100" i="23"/>
  <c r="C100" i="23"/>
  <c r="B100" i="23"/>
  <c r="P99" i="23"/>
  <c r="L99" i="23"/>
  <c r="F99" i="23"/>
  <c r="E99" i="23"/>
  <c r="C99" i="23"/>
  <c r="B99" i="23"/>
  <c r="P98" i="23"/>
  <c r="L98" i="23"/>
  <c r="F98" i="23"/>
  <c r="E98" i="23"/>
  <c r="C98" i="23"/>
  <c r="B98" i="23"/>
  <c r="P97" i="23"/>
  <c r="L97" i="23"/>
  <c r="F97" i="23"/>
  <c r="E97" i="23"/>
  <c r="C97" i="23"/>
  <c r="B97" i="23"/>
  <c r="P96" i="23"/>
  <c r="L96" i="23"/>
  <c r="F96" i="23"/>
  <c r="E96" i="23"/>
  <c r="C96" i="23"/>
  <c r="B96" i="23"/>
  <c r="P95" i="23"/>
  <c r="L95" i="23"/>
  <c r="F95" i="23"/>
  <c r="E95" i="23"/>
  <c r="C95" i="23"/>
  <c r="B95" i="23"/>
  <c r="P94" i="23"/>
  <c r="L94" i="23"/>
  <c r="F94" i="23"/>
  <c r="E94" i="23"/>
  <c r="C94" i="23"/>
  <c r="B94" i="23"/>
  <c r="P93" i="23"/>
  <c r="N93" i="23"/>
  <c r="N94" i="23"/>
  <c r="N95" i="23"/>
  <c r="N96" i="23"/>
  <c r="N97" i="23"/>
  <c r="N98" i="23"/>
  <c r="N99" i="23"/>
  <c r="N100" i="23"/>
  <c r="N101" i="23"/>
  <c r="L93" i="23"/>
  <c r="F93" i="23"/>
  <c r="E93" i="23"/>
  <c r="C93" i="23"/>
  <c r="B93" i="23"/>
  <c r="P92" i="23"/>
  <c r="L92" i="23"/>
  <c r="F92" i="23"/>
  <c r="E92" i="23"/>
  <c r="C92" i="23"/>
  <c r="B92" i="23"/>
  <c r="P91" i="23"/>
  <c r="L91" i="23"/>
  <c r="F91" i="23"/>
  <c r="E91" i="23"/>
  <c r="C91" i="23"/>
  <c r="B91" i="23"/>
  <c r="P90" i="23"/>
  <c r="L90" i="23"/>
  <c r="F90" i="23"/>
  <c r="E90" i="23"/>
  <c r="C90" i="23"/>
  <c r="B90" i="23"/>
  <c r="P89" i="23"/>
  <c r="L89" i="23"/>
  <c r="F89" i="23"/>
  <c r="E89" i="23"/>
  <c r="C89" i="23"/>
  <c r="B89" i="23"/>
  <c r="P88" i="23"/>
  <c r="L88" i="23"/>
  <c r="F88" i="23"/>
  <c r="E88" i="23"/>
  <c r="C88" i="23"/>
  <c r="B88" i="23"/>
  <c r="P87" i="23"/>
  <c r="N87" i="23"/>
  <c r="N88" i="23"/>
  <c r="N89" i="23"/>
  <c r="N90" i="23"/>
  <c r="N91" i="23"/>
  <c r="L87" i="23"/>
  <c r="F87" i="23"/>
  <c r="E87" i="23"/>
  <c r="C87" i="23"/>
  <c r="B87" i="23"/>
  <c r="P86" i="23"/>
  <c r="L86" i="23"/>
  <c r="F86" i="23"/>
  <c r="E86" i="23"/>
  <c r="C86" i="23"/>
  <c r="B86" i="23"/>
  <c r="P85" i="23"/>
  <c r="L85" i="23"/>
  <c r="F85" i="23"/>
  <c r="E85" i="23"/>
  <c r="C85" i="23"/>
  <c r="B85" i="23"/>
  <c r="P84" i="23"/>
  <c r="L84" i="23"/>
  <c r="F84" i="23"/>
  <c r="E84" i="23"/>
  <c r="C84" i="23"/>
  <c r="B84" i="23"/>
  <c r="P83" i="23"/>
  <c r="L83" i="23"/>
  <c r="F83" i="23"/>
  <c r="E83" i="23"/>
  <c r="C83" i="23"/>
  <c r="B83" i="23"/>
  <c r="P82" i="23"/>
  <c r="N83" i="23"/>
  <c r="N84" i="23"/>
  <c r="N85" i="23"/>
  <c r="N86" i="23"/>
  <c r="L82" i="23"/>
  <c r="F82" i="23"/>
  <c r="E82" i="23"/>
  <c r="C82" i="23"/>
  <c r="B82" i="23"/>
  <c r="P81" i="23"/>
  <c r="L81" i="23"/>
  <c r="F81" i="23"/>
  <c r="E81" i="23"/>
  <c r="C81" i="23"/>
  <c r="B81" i="23"/>
  <c r="P80" i="23"/>
  <c r="L80" i="23"/>
  <c r="F80" i="23"/>
  <c r="E80" i="23"/>
  <c r="C80" i="23"/>
  <c r="B80" i="23"/>
  <c r="P79" i="23"/>
  <c r="L79" i="23"/>
  <c r="F79" i="23"/>
  <c r="E79" i="23"/>
  <c r="C79" i="23"/>
  <c r="B79" i="23"/>
  <c r="P78" i="23"/>
  <c r="L78" i="23"/>
  <c r="F78" i="23"/>
  <c r="E78" i="23"/>
  <c r="C78" i="23"/>
  <c r="B78" i="23"/>
  <c r="P77" i="23"/>
  <c r="L77" i="23"/>
  <c r="F77" i="23"/>
  <c r="E77" i="23"/>
  <c r="C77" i="23"/>
  <c r="B77" i="23"/>
  <c r="P76" i="23"/>
  <c r="L76" i="23"/>
  <c r="F76" i="23"/>
  <c r="E76" i="23"/>
  <c r="C76" i="23"/>
  <c r="B76" i="23"/>
  <c r="P75" i="23"/>
  <c r="L75" i="23"/>
  <c r="F75" i="23"/>
  <c r="E75" i="23"/>
  <c r="C75" i="23"/>
  <c r="B75" i="23"/>
  <c r="P74" i="23"/>
  <c r="L74" i="23"/>
  <c r="F74" i="23"/>
  <c r="E74" i="23"/>
  <c r="C74" i="23"/>
  <c r="B74" i="23"/>
  <c r="P73" i="23"/>
  <c r="N73" i="23"/>
  <c r="N74" i="23"/>
  <c r="N75" i="23"/>
  <c r="N76" i="23"/>
  <c r="N77" i="23"/>
  <c r="N78" i="23"/>
  <c r="N79" i="23"/>
  <c r="N80" i="23"/>
  <c r="N81" i="23"/>
  <c r="L73" i="23"/>
  <c r="F73" i="23"/>
  <c r="E73" i="23"/>
  <c r="C73" i="23"/>
  <c r="B73" i="23"/>
  <c r="P72" i="23"/>
  <c r="L72" i="23"/>
  <c r="F72" i="23"/>
  <c r="E72" i="23"/>
  <c r="C72" i="23"/>
  <c r="B72" i="23"/>
  <c r="P71" i="23"/>
  <c r="L71" i="23"/>
  <c r="F71" i="23"/>
  <c r="E71" i="23"/>
  <c r="C71" i="23"/>
  <c r="B71" i="23"/>
  <c r="P70" i="23"/>
  <c r="L70" i="23"/>
  <c r="F70" i="23"/>
  <c r="E70" i="23"/>
  <c r="C70" i="23"/>
  <c r="B70" i="23"/>
  <c r="P69" i="23"/>
  <c r="L69" i="23"/>
  <c r="F69" i="23"/>
  <c r="E69" i="23"/>
  <c r="C69" i="23"/>
  <c r="B69" i="23"/>
  <c r="P68" i="23"/>
  <c r="L68" i="23"/>
  <c r="F68" i="23"/>
  <c r="E68" i="23"/>
  <c r="C68" i="23"/>
  <c r="B68" i="23"/>
  <c r="P67" i="23"/>
  <c r="L67" i="23"/>
  <c r="F67" i="23"/>
  <c r="E67" i="23"/>
  <c r="C67" i="23"/>
  <c r="B67" i="23"/>
  <c r="P66" i="23"/>
  <c r="L66" i="23"/>
  <c r="F66" i="23"/>
  <c r="E66" i="23"/>
  <c r="C66" i="23"/>
  <c r="B66" i="23"/>
  <c r="P65" i="23"/>
  <c r="L65" i="23"/>
  <c r="F65" i="23"/>
  <c r="E65" i="23"/>
  <c r="C65" i="23"/>
  <c r="B65" i="23"/>
  <c r="P64" i="23"/>
  <c r="L64" i="23"/>
  <c r="F64" i="23"/>
  <c r="E64" i="23"/>
  <c r="C64" i="23"/>
  <c r="B64" i="23"/>
  <c r="P63" i="23"/>
  <c r="L63" i="23"/>
  <c r="F63" i="23"/>
  <c r="E63" i="23"/>
  <c r="C63" i="23"/>
  <c r="B63" i="23"/>
  <c r="P62" i="23"/>
  <c r="N63" i="23"/>
  <c r="N64" i="23"/>
  <c r="N65" i="23"/>
  <c r="N66" i="23"/>
  <c r="N67" i="23"/>
  <c r="N68" i="23"/>
  <c r="N69" i="23"/>
  <c r="N70" i="23"/>
  <c r="N71" i="23"/>
  <c r="L62" i="23"/>
  <c r="F62" i="23"/>
  <c r="E62" i="23"/>
  <c r="C62" i="23"/>
  <c r="B62" i="23"/>
  <c r="P61" i="23"/>
  <c r="L61" i="23"/>
  <c r="F61" i="23"/>
  <c r="E61" i="23"/>
  <c r="C61" i="23"/>
  <c r="B61" i="23"/>
  <c r="P60" i="23"/>
  <c r="L60" i="23"/>
  <c r="F60" i="23"/>
  <c r="E60" i="23"/>
  <c r="C60" i="23"/>
  <c r="B60" i="23"/>
  <c r="P59" i="23"/>
  <c r="L59" i="23"/>
  <c r="F59" i="23"/>
  <c r="E59" i="23"/>
  <c r="C59" i="23"/>
  <c r="B59" i="23"/>
  <c r="P58" i="23"/>
  <c r="L58" i="23"/>
  <c r="F58" i="23"/>
  <c r="E58" i="23"/>
  <c r="C58" i="23"/>
  <c r="B58" i="23"/>
  <c r="P57" i="23"/>
  <c r="L57" i="23"/>
  <c r="F57" i="23"/>
  <c r="E57" i="23"/>
  <c r="C57" i="23"/>
  <c r="B57" i="23"/>
  <c r="P56" i="23"/>
  <c r="L56" i="23"/>
  <c r="F56" i="23"/>
  <c r="E56" i="23"/>
  <c r="C56" i="23"/>
  <c r="B56" i="23"/>
  <c r="P55" i="23"/>
  <c r="L55" i="23"/>
  <c r="F55" i="23"/>
  <c r="E55" i="23"/>
  <c r="C55" i="23"/>
  <c r="B55" i="23"/>
  <c r="P54" i="23"/>
  <c r="N54" i="23"/>
  <c r="N55" i="23"/>
  <c r="N56" i="23"/>
  <c r="N57" i="23"/>
  <c r="N58" i="23"/>
  <c r="N59" i="23"/>
  <c r="N60" i="23"/>
  <c r="N61" i="23"/>
  <c r="L54" i="23"/>
  <c r="F54" i="23"/>
  <c r="E54" i="23"/>
  <c r="C54" i="23"/>
  <c r="B54" i="23"/>
  <c r="P53" i="23"/>
  <c r="N53" i="23"/>
  <c r="L53" i="23"/>
  <c r="F53" i="23"/>
  <c r="E53" i="23"/>
  <c r="C53" i="23"/>
  <c r="B53" i="23"/>
  <c r="P52" i="23"/>
  <c r="L52" i="23"/>
  <c r="F52" i="23"/>
  <c r="E52" i="23"/>
  <c r="C52" i="23"/>
  <c r="B52" i="23"/>
  <c r="P51" i="23"/>
  <c r="L51" i="23"/>
  <c r="F51" i="23"/>
  <c r="E51" i="23"/>
  <c r="C51" i="23"/>
  <c r="B51" i="23"/>
  <c r="P50" i="23"/>
  <c r="L50" i="23"/>
  <c r="F50" i="23"/>
  <c r="E50" i="23"/>
  <c r="C50" i="23"/>
  <c r="B50" i="23"/>
  <c r="P49" i="23"/>
  <c r="L49" i="23"/>
  <c r="F49" i="23"/>
  <c r="E49" i="23"/>
  <c r="C49" i="23"/>
  <c r="B49" i="23"/>
  <c r="P48" i="23"/>
  <c r="L48" i="23"/>
  <c r="F48" i="23"/>
  <c r="E48" i="23"/>
  <c r="C48" i="23"/>
  <c r="B48" i="23"/>
  <c r="P47" i="23"/>
  <c r="L47" i="23"/>
  <c r="F47" i="23"/>
  <c r="E47" i="23"/>
  <c r="C47" i="23"/>
  <c r="B47" i="23"/>
  <c r="P46" i="23"/>
  <c r="L46" i="23"/>
  <c r="F46" i="23"/>
  <c r="E46" i="23"/>
  <c r="C46" i="23"/>
  <c r="B46" i="23"/>
  <c r="P45" i="23"/>
  <c r="L45" i="23"/>
  <c r="F45" i="23"/>
  <c r="E45" i="23"/>
  <c r="C45" i="23"/>
  <c r="B45" i="23"/>
  <c r="P44" i="23"/>
  <c r="L44" i="23"/>
  <c r="F44" i="23"/>
  <c r="E44" i="23"/>
  <c r="C44" i="23"/>
  <c r="B44" i="23"/>
  <c r="P43" i="23"/>
  <c r="M43" i="23"/>
  <c r="M44" i="23" s="1"/>
  <c r="M45" i="23" s="1"/>
  <c r="M46" i="23" s="1"/>
  <c r="M47" i="23" s="1"/>
  <c r="M48" i="23" s="1"/>
  <c r="M49" i="23" s="1"/>
  <c r="M50" i="23" s="1"/>
  <c r="M51" i="23" s="1"/>
  <c r="L43" i="23"/>
  <c r="F43" i="23"/>
  <c r="E43" i="23"/>
  <c r="C43" i="23"/>
  <c r="B43" i="23"/>
  <c r="P42" i="23"/>
  <c r="N43" i="23"/>
  <c r="N44" i="23"/>
  <c r="N45" i="23"/>
  <c r="N46" i="23"/>
  <c r="N47" i="23"/>
  <c r="N48" i="23"/>
  <c r="N49" i="23"/>
  <c r="N50" i="23"/>
  <c r="N51" i="23"/>
  <c r="L42" i="23"/>
  <c r="F42" i="23"/>
  <c r="E42" i="23"/>
  <c r="C42" i="23"/>
  <c r="B42" i="23"/>
  <c r="P41" i="23"/>
  <c r="L41" i="23"/>
  <c r="F41" i="23"/>
  <c r="E41" i="23"/>
  <c r="C41" i="23"/>
  <c r="B41" i="23"/>
  <c r="P40" i="23"/>
  <c r="L40" i="23"/>
  <c r="F40" i="23"/>
  <c r="E40" i="23"/>
  <c r="C40" i="23"/>
  <c r="B40" i="23"/>
  <c r="P39" i="23"/>
  <c r="L39" i="23"/>
  <c r="F39" i="23"/>
  <c r="E39" i="23"/>
  <c r="C39" i="23"/>
  <c r="B39" i="23"/>
  <c r="P38" i="23"/>
  <c r="L38" i="23"/>
  <c r="F38" i="23"/>
  <c r="E38" i="23"/>
  <c r="C38" i="23"/>
  <c r="B38" i="23"/>
  <c r="P37" i="23"/>
  <c r="L37" i="23"/>
  <c r="F37" i="23"/>
  <c r="E37" i="23"/>
  <c r="C37" i="23"/>
  <c r="B37" i="23"/>
  <c r="P36" i="23"/>
  <c r="L36" i="23"/>
  <c r="F36" i="23"/>
  <c r="E36" i="23"/>
  <c r="C36" i="23"/>
  <c r="B36" i="23"/>
  <c r="P35" i="23"/>
  <c r="L35" i="23"/>
  <c r="F35" i="23"/>
  <c r="E35" i="23"/>
  <c r="C35" i="23"/>
  <c r="B35" i="23"/>
  <c r="S34" i="23"/>
  <c r="S44" i="23"/>
  <c r="P34" i="23"/>
  <c r="L34" i="23"/>
  <c r="F34" i="23"/>
  <c r="E34" i="23"/>
  <c r="C34" i="23"/>
  <c r="B34" i="23"/>
  <c r="P33" i="23"/>
  <c r="L33" i="23"/>
  <c r="F33" i="23"/>
  <c r="E33" i="23"/>
  <c r="C33" i="23"/>
  <c r="B33" i="23"/>
  <c r="P32" i="23"/>
  <c r="N33" i="23"/>
  <c r="N34" i="23"/>
  <c r="N35" i="23"/>
  <c r="N36" i="23"/>
  <c r="N37" i="23"/>
  <c r="N38" i="23"/>
  <c r="N39" i="23"/>
  <c r="N40" i="23"/>
  <c r="N41" i="23"/>
  <c r="L32" i="23"/>
  <c r="F32" i="23"/>
  <c r="E32" i="23"/>
  <c r="C32" i="23"/>
  <c r="B32" i="23"/>
  <c r="P31" i="23"/>
  <c r="L31" i="23"/>
  <c r="F31" i="23"/>
  <c r="E31" i="23"/>
  <c r="C31" i="23"/>
  <c r="B31" i="23"/>
  <c r="P30" i="23"/>
  <c r="L30" i="23"/>
  <c r="F30" i="23"/>
  <c r="E30" i="23"/>
  <c r="C30" i="23"/>
  <c r="B30" i="23"/>
  <c r="P29" i="23"/>
  <c r="L29" i="23"/>
  <c r="F29" i="23"/>
  <c r="E29" i="23"/>
  <c r="C29" i="23"/>
  <c r="B29" i="23"/>
  <c r="P28" i="23"/>
  <c r="L28" i="23"/>
  <c r="F28" i="23"/>
  <c r="E28" i="23"/>
  <c r="C28" i="23"/>
  <c r="B28" i="23"/>
  <c r="S27" i="23"/>
  <c r="S37" i="23"/>
  <c r="S47" i="23"/>
  <c r="P27" i="23"/>
  <c r="L27" i="23"/>
  <c r="F27" i="23"/>
  <c r="E27" i="23"/>
  <c r="C27" i="23"/>
  <c r="B27" i="23"/>
  <c r="S26" i="23"/>
  <c r="S36" i="23"/>
  <c r="S46" i="23"/>
  <c r="P26" i="23"/>
  <c r="L26" i="23"/>
  <c r="F26" i="23"/>
  <c r="E26" i="23"/>
  <c r="C26" i="23"/>
  <c r="B26" i="23"/>
  <c r="P25" i="23"/>
  <c r="L25" i="23"/>
  <c r="F25" i="23"/>
  <c r="E25" i="23"/>
  <c r="C25" i="23"/>
  <c r="B25" i="23"/>
  <c r="S24" i="23"/>
  <c r="P24" i="23"/>
  <c r="L24" i="23"/>
  <c r="F24" i="23"/>
  <c r="E24" i="23"/>
  <c r="C24" i="23"/>
  <c r="B24" i="23"/>
  <c r="P23" i="23"/>
  <c r="N23" i="23"/>
  <c r="N24" i="23"/>
  <c r="N25" i="23"/>
  <c r="N26" i="23"/>
  <c r="N27" i="23"/>
  <c r="N28" i="23"/>
  <c r="N29" i="23"/>
  <c r="N30" i="23"/>
  <c r="N31" i="23"/>
  <c r="L23" i="23"/>
  <c r="F23" i="23"/>
  <c r="E23" i="23"/>
  <c r="C23" i="23"/>
  <c r="B23" i="23"/>
  <c r="P22" i="23"/>
  <c r="L22" i="23"/>
  <c r="F22" i="23"/>
  <c r="E22" i="23"/>
  <c r="C22" i="23"/>
  <c r="B22" i="23"/>
  <c r="S21" i="23"/>
  <c r="S31" i="23"/>
  <c r="S41" i="23"/>
  <c r="S51" i="23"/>
  <c r="P21" i="23"/>
  <c r="L21" i="23"/>
  <c r="F21" i="23"/>
  <c r="E21" i="23"/>
  <c r="C21" i="23"/>
  <c r="B21" i="23"/>
  <c r="S20" i="23"/>
  <c r="S30" i="23"/>
  <c r="S40" i="23"/>
  <c r="S50" i="23"/>
  <c r="P20" i="23"/>
  <c r="L20" i="23"/>
  <c r="F20" i="23"/>
  <c r="E20" i="23"/>
  <c r="C20" i="23"/>
  <c r="B20" i="23"/>
  <c r="S19" i="23"/>
  <c r="S29" i="23"/>
  <c r="S39" i="23"/>
  <c r="S49" i="23"/>
  <c r="P19" i="23"/>
  <c r="L19" i="23"/>
  <c r="F19" i="23"/>
  <c r="E19" i="23"/>
  <c r="C19" i="23"/>
  <c r="B19" i="23"/>
  <c r="S18" i="23"/>
  <c r="S28" i="23"/>
  <c r="S38" i="23"/>
  <c r="S48" i="23"/>
  <c r="P18" i="23"/>
  <c r="L18" i="23"/>
  <c r="F18" i="23"/>
  <c r="E18" i="23"/>
  <c r="C18" i="23"/>
  <c r="B18" i="23"/>
  <c r="S17" i="23"/>
  <c r="P17" i="23"/>
  <c r="L17" i="23"/>
  <c r="F17" i="23"/>
  <c r="E17" i="23"/>
  <c r="C17" i="23"/>
  <c r="B17" i="23"/>
  <c r="S16" i="23"/>
  <c r="P16" i="23"/>
  <c r="L16" i="23"/>
  <c r="F16" i="23"/>
  <c r="E16" i="23"/>
  <c r="C16" i="23"/>
  <c r="B16" i="23"/>
  <c r="S15" i="23"/>
  <c r="S25" i="23"/>
  <c r="S35" i="23"/>
  <c r="S45" i="23"/>
  <c r="P15" i="23"/>
  <c r="L15" i="23"/>
  <c r="F15" i="23"/>
  <c r="E15" i="23"/>
  <c r="C15" i="23"/>
  <c r="B15" i="23"/>
  <c r="S14" i="23"/>
  <c r="P14" i="23"/>
  <c r="L14" i="23"/>
  <c r="F14" i="23"/>
  <c r="E14" i="23"/>
  <c r="C14" i="23"/>
  <c r="B14" i="23"/>
  <c r="S13" i="23"/>
  <c r="S23" i="23"/>
  <c r="S33" i="23"/>
  <c r="S43" i="23"/>
  <c r="P13" i="23"/>
  <c r="L13" i="23"/>
  <c r="F13" i="23"/>
  <c r="E13" i="23"/>
  <c r="C13" i="23"/>
  <c r="B13" i="23"/>
  <c r="S12" i="23"/>
  <c r="S22" i="23"/>
  <c r="S32" i="23"/>
  <c r="S42" i="23"/>
  <c r="P12" i="23"/>
  <c r="N13" i="23"/>
  <c r="N14" i="23"/>
  <c r="N15" i="23"/>
  <c r="N16" i="23"/>
  <c r="N17" i="23"/>
  <c r="N18" i="23"/>
  <c r="N19" i="23"/>
  <c r="N20" i="23"/>
  <c r="N21" i="23"/>
  <c r="L12" i="23"/>
  <c r="F12" i="23"/>
  <c r="E12" i="23"/>
  <c r="C12" i="23"/>
  <c r="B12" i="23"/>
  <c r="P11" i="23"/>
  <c r="L11" i="23"/>
  <c r="F11" i="23"/>
  <c r="E11" i="23"/>
  <c r="C11" i="23"/>
  <c r="B11" i="23"/>
  <c r="P10" i="23"/>
  <c r="L10" i="23"/>
  <c r="F10" i="23"/>
  <c r="E10" i="23"/>
  <c r="C10" i="23"/>
  <c r="B10" i="23"/>
  <c r="P9" i="23"/>
  <c r="L9" i="23"/>
  <c r="F9" i="23"/>
  <c r="E9" i="23"/>
  <c r="C9" i="23"/>
  <c r="B9" i="23"/>
  <c r="P8" i="23"/>
  <c r="L8" i="23"/>
  <c r="F8" i="23"/>
  <c r="E8" i="23"/>
  <c r="C8" i="23"/>
  <c r="B8" i="23"/>
  <c r="P7" i="23"/>
  <c r="L7" i="23"/>
  <c r="F7" i="23"/>
  <c r="E7" i="23"/>
  <c r="C7" i="23"/>
  <c r="B7" i="23"/>
  <c r="P6" i="23"/>
  <c r="L6" i="23"/>
  <c r="F6" i="23"/>
  <c r="E6" i="23"/>
  <c r="C6" i="23"/>
  <c r="B6" i="23"/>
  <c r="P5" i="23"/>
  <c r="L5" i="23"/>
  <c r="F5" i="23"/>
  <c r="E5" i="23"/>
  <c r="C5" i="23"/>
  <c r="B5" i="23"/>
  <c r="P4" i="23"/>
  <c r="L4" i="23"/>
  <c r="F4" i="23"/>
  <c r="E4" i="23"/>
  <c r="C4" i="23"/>
  <c r="B4" i="23"/>
  <c r="P3" i="23"/>
  <c r="L3" i="23"/>
  <c r="F3" i="23"/>
  <c r="E3" i="23"/>
  <c r="C3" i="23"/>
  <c r="B3" i="23"/>
  <c r="P2" i="23"/>
  <c r="N3" i="23"/>
  <c r="N4" i="23"/>
  <c r="N5" i="23"/>
  <c r="N6" i="23"/>
  <c r="N7" i="23"/>
  <c r="N8" i="23"/>
  <c r="N9" i="23"/>
  <c r="N10" i="23"/>
  <c r="N11" i="23"/>
  <c r="L2" i="23"/>
  <c r="F2" i="23"/>
  <c r="E2" i="23"/>
  <c r="C2" i="23"/>
  <c r="B2" i="23"/>
  <c r="G264" i="10"/>
  <c r="H264" i="10"/>
  <c r="G265" i="10"/>
  <c r="H265" i="10"/>
  <c r="G266" i="10"/>
  <c r="H266" i="10"/>
  <c r="G267" i="10"/>
  <c r="H267" i="10"/>
  <c r="G268" i="10"/>
  <c r="H268" i="10"/>
  <c r="G269" i="10"/>
  <c r="H269" i="10"/>
  <c r="G270" i="10"/>
  <c r="H270" i="10"/>
  <c r="G271" i="10"/>
  <c r="H271" i="10"/>
  <c r="G272" i="10"/>
  <c r="H272" i="10"/>
  <c r="G273" i="10"/>
  <c r="H273" i="10"/>
  <c r="G274" i="10"/>
  <c r="H274" i="10"/>
  <c r="G250" i="10"/>
  <c r="H250" i="10"/>
  <c r="G251" i="10"/>
  <c r="H251" i="10"/>
  <c r="G252" i="10"/>
  <c r="H252" i="10"/>
  <c r="G253" i="10"/>
  <c r="H253" i="10"/>
  <c r="G254" i="10"/>
  <c r="H254" i="10"/>
  <c r="G255" i="10"/>
  <c r="H255" i="10"/>
  <c r="G256" i="10"/>
  <c r="H256" i="10"/>
  <c r="G257" i="10"/>
  <c r="H257" i="10"/>
  <c r="G258" i="10"/>
  <c r="H258" i="10"/>
  <c r="G259" i="10"/>
  <c r="H259" i="10"/>
  <c r="G260" i="10"/>
  <c r="H260" i="10"/>
  <c r="G261" i="10"/>
  <c r="H261" i="10"/>
  <c r="G262" i="10"/>
  <c r="H262" i="10"/>
  <c r="G263" i="10"/>
  <c r="H263" i="10"/>
  <c r="G227" i="10"/>
  <c r="H227" i="10"/>
  <c r="G228" i="10"/>
  <c r="H228" i="10"/>
  <c r="G229" i="10"/>
  <c r="H229" i="10"/>
  <c r="G230" i="10"/>
  <c r="H230" i="10"/>
  <c r="G231" i="10"/>
  <c r="H231" i="10"/>
  <c r="G232" i="10"/>
  <c r="H232" i="10"/>
  <c r="G233" i="10"/>
  <c r="H233" i="10"/>
  <c r="G234" i="10"/>
  <c r="H234" i="10"/>
  <c r="G235" i="10"/>
  <c r="H235" i="10"/>
  <c r="G236" i="10"/>
  <c r="H236" i="10"/>
  <c r="G237" i="10"/>
  <c r="H237" i="10"/>
  <c r="G238" i="10"/>
  <c r="H238" i="10"/>
  <c r="G239" i="10"/>
  <c r="H239" i="10"/>
  <c r="G240" i="10"/>
  <c r="H240" i="10"/>
  <c r="G241" i="10"/>
  <c r="H241" i="10"/>
  <c r="G242" i="10"/>
  <c r="H242" i="10"/>
  <c r="G243" i="10"/>
  <c r="H243" i="10"/>
  <c r="G244" i="10"/>
  <c r="H244" i="10"/>
  <c r="G245" i="10"/>
  <c r="H245" i="10"/>
  <c r="G246" i="10"/>
  <c r="H246" i="10"/>
  <c r="G247" i="10"/>
  <c r="H247" i="10"/>
  <c r="G248" i="10"/>
  <c r="H248" i="10"/>
  <c r="G249" i="10"/>
  <c r="H249" i="10"/>
  <c r="G226" i="10"/>
  <c r="H226" i="10"/>
  <c r="G225" i="10"/>
  <c r="H225" i="10"/>
  <c r="G192" i="10"/>
  <c r="H192" i="10"/>
  <c r="G193" i="10"/>
  <c r="H193" i="10"/>
  <c r="G194" i="10"/>
  <c r="H194" i="10"/>
  <c r="G195" i="10"/>
  <c r="H195" i="10"/>
  <c r="G196" i="10"/>
  <c r="H196" i="10"/>
  <c r="G197" i="10"/>
  <c r="H197" i="10"/>
  <c r="G198" i="10"/>
  <c r="H198" i="10"/>
  <c r="G199" i="10"/>
  <c r="H199" i="10"/>
  <c r="G200" i="10"/>
  <c r="H200" i="10"/>
  <c r="G201" i="10"/>
  <c r="H201" i="10"/>
  <c r="G202" i="10"/>
  <c r="H202" i="10"/>
  <c r="G203" i="10"/>
  <c r="H203" i="10"/>
  <c r="G204" i="10"/>
  <c r="H204" i="10"/>
  <c r="G205" i="10"/>
  <c r="H205" i="10"/>
  <c r="G206" i="10"/>
  <c r="H206" i="10"/>
  <c r="G207" i="10"/>
  <c r="H207" i="10"/>
  <c r="G208" i="10"/>
  <c r="H208" i="10"/>
  <c r="G209" i="10"/>
  <c r="H209" i="10"/>
  <c r="G210" i="10"/>
  <c r="H210" i="10"/>
  <c r="G211" i="10"/>
  <c r="H211" i="10"/>
  <c r="G212" i="10"/>
  <c r="H212" i="10"/>
  <c r="G213" i="10"/>
  <c r="H213" i="10"/>
  <c r="G214" i="10"/>
  <c r="H214" i="10"/>
  <c r="G215" i="10"/>
  <c r="H215" i="10"/>
  <c r="G216" i="10"/>
  <c r="H216" i="10"/>
  <c r="G217" i="10"/>
  <c r="H217" i="10"/>
  <c r="G218" i="10"/>
  <c r="H218" i="10"/>
  <c r="G219" i="10"/>
  <c r="H219" i="10"/>
  <c r="G220" i="10"/>
  <c r="H220" i="10"/>
  <c r="G221" i="10"/>
  <c r="H221" i="10"/>
  <c r="G222" i="10"/>
  <c r="H222" i="10"/>
  <c r="G223" i="10"/>
  <c r="H223" i="10"/>
  <c r="G224" i="10"/>
  <c r="H224" i="10"/>
  <c r="G191" i="10"/>
  <c r="H191" i="10"/>
  <c r="G190" i="10"/>
  <c r="H190" i="10"/>
  <c r="G189" i="10"/>
  <c r="H189" i="10"/>
  <c r="G188" i="10"/>
  <c r="H188" i="10"/>
  <c r="G187" i="10"/>
  <c r="H187" i="10"/>
  <c r="G186" i="10"/>
  <c r="H186" i="10"/>
  <c r="G185" i="10"/>
  <c r="H185" i="10"/>
  <c r="G184" i="10"/>
  <c r="AL18" i="22"/>
  <c r="AL17" i="22"/>
  <c r="AL16" i="22"/>
  <c r="AL15" i="22"/>
  <c r="AL14" i="22"/>
  <c r="AL13" i="22"/>
  <c r="AL12" i="22"/>
  <c r="AL11" i="22"/>
  <c r="AL10" i="22"/>
  <c r="E9" i="22"/>
  <c r="E10" i="22" s="1"/>
  <c r="E11" i="22" s="1"/>
  <c r="E12" i="22" s="1"/>
  <c r="E13" i="22" s="1"/>
  <c r="E14" i="22" s="1"/>
  <c r="E15" i="22" s="1"/>
  <c r="E16" i="22" s="1"/>
  <c r="E17" i="22" s="1"/>
  <c r="E18" i="22" s="1"/>
  <c r="O225" i="22"/>
  <c r="F200" i="19"/>
  <c r="AG58" i="19"/>
  <c r="AG56" i="19"/>
  <c r="AG57" i="19"/>
  <c r="C21" i="19"/>
  <c r="L200" i="19"/>
  <c r="M200" i="19"/>
  <c r="N200" i="19"/>
  <c r="H200" i="19"/>
  <c r="I200" i="19"/>
  <c r="J200" i="19"/>
  <c r="K200" i="19"/>
  <c r="G200" i="19"/>
  <c r="AG51" i="19"/>
  <c r="AG50" i="19"/>
  <c r="AG49" i="19"/>
  <c r="AG42" i="19"/>
  <c r="AG41" i="19"/>
  <c r="AG40" i="19"/>
  <c r="AG81" i="19"/>
  <c r="AG80" i="19"/>
  <c r="AG79" i="19"/>
  <c r="AG78" i="19"/>
  <c r="AG77" i="19"/>
  <c r="AG76" i="19"/>
  <c r="AG75" i="19"/>
  <c r="AG74" i="19"/>
  <c r="AG73" i="19"/>
  <c r="AG65" i="19"/>
  <c r="AG64" i="19"/>
  <c r="AG63" i="19"/>
  <c r="AG62" i="19"/>
  <c r="AG61" i="19"/>
  <c r="AG60" i="19"/>
  <c r="AG59" i="19"/>
  <c r="AG32" i="19"/>
  <c r="AG31" i="19"/>
  <c r="AG30" i="19"/>
  <c r="AG29" i="19"/>
  <c r="AG28" i="19"/>
  <c r="AG27" i="19"/>
  <c r="AG26" i="19"/>
  <c r="AG25" i="19"/>
  <c r="AG24" i="19"/>
  <c r="AG17" i="19"/>
  <c r="AG16" i="19"/>
  <c r="AG15" i="19"/>
  <c r="AG14" i="19"/>
  <c r="AG13" i="19"/>
  <c r="AG12" i="19"/>
  <c r="AG11" i="19"/>
  <c r="AG10" i="19"/>
  <c r="AG9" i="19"/>
  <c r="N24" i="19"/>
  <c r="N25" i="19"/>
  <c r="N26" i="19"/>
  <c r="N27" i="19"/>
  <c r="N28" i="19"/>
  <c r="N29" i="19"/>
  <c r="N30" i="19"/>
  <c r="N31" i="19"/>
  <c r="N32" i="19"/>
  <c r="N23" i="19"/>
  <c r="M24" i="19"/>
  <c r="M25" i="19"/>
  <c r="M26" i="19"/>
  <c r="M27" i="19"/>
  <c r="M28" i="19"/>
  <c r="M29" i="19"/>
  <c r="M30" i="19"/>
  <c r="M31" i="19"/>
  <c r="M32" i="19"/>
  <c r="M23" i="19"/>
  <c r="L24" i="19"/>
  <c r="L25" i="19"/>
  <c r="L26" i="19"/>
  <c r="L27" i="19"/>
  <c r="L28" i="19"/>
  <c r="L29" i="19"/>
  <c r="L30" i="19"/>
  <c r="L31" i="19"/>
  <c r="L32" i="19"/>
  <c r="L23" i="19"/>
  <c r="K24" i="19"/>
  <c r="K25" i="19"/>
  <c r="K26" i="19"/>
  <c r="K27" i="19"/>
  <c r="K28" i="19"/>
  <c r="K29" i="19"/>
  <c r="K30" i="19"/>
  <c r="K31" i="19"/>
  <c r="K32" i="19"/>
  <c r="K23" i="19"/>
  <c r="J24" i="19"/>
  <c r="J25" i="19"/>
  <c r="J26" i="19"/>
  <c r="J27" i="19"/>
  <c r="J28" i="19"/>
  <c r="J29" i="19"/>
  <c r="J30" i="19"/>
  <c r="J31" i="19"/>
  <c r="J32" i="19"/>
  <c r="J23" i="19"/>
  <c r="I24" i="19"/>
  <c r="I25" i="19"/>
  <c r="I26" i="19"/>
  <c r="I27" i="19"/>
  <c r="I28" i="19"/>
  <c r="I29" i="19"/>
  <c r="I30" i="19"/>
  <c r="I31" i="19"/>
  <c r="I32" i="19"/>
  <c r="I23" i="19"/>
  <c r="H24" i="19"/>
  <c r="H25" i="19"/>
  <c r="H26" i="19"/>
  <c r="H27" i="19"/>
  <c r="H28" i="19"/>
  <c r="H29" i="19"/>
  <c r="H30" i="19"/>
  <c r="H31" i="19"/>
  <c r="H32" i="19"/>
  <c r="H23" i="19"/>
  <c r="G24" i="19"/>
  <c r="G25" i="19"/>
  <c r="G26" i="19"/>
  <c r="G27" i="19"/>
  <c r="G28" i="19"/>
  <c r="G29" i="19"/>
  <c r="G30" i="19"/>
  <c r="G31" i="19"/>
  <c r="G32" i="19"/>
  <c r="G23" i="19"/>
  <c r="F24" i="19"/>
  <c r="F25" i="19"/>
  <c r="F26" i="19"/>
  <c r="F27" i="19"/>
  <c r="F28" i="19"/>
  <c r="F29" i="19"/>
  <c r="F30" i="19"/>
  <c r="F31" i="19"/>
  <c r="F32" i="19"/>
  <c r="F23" i="19"/>
  <c r="E24" i="19"/>
  <c r="E25" i="19"/>
  <c r="E26" i="19"/>
  <c r="E27" i="19"/>
  <c r="E28" i="19"/>
  <c r="E29" i="19"/>
  <c r="E30" i="19"/>
  <c r="E31" i="19"/>
  <c r="E32" i="19"/>
  <c r="E23" i="19"/>
  <c r="D24" i="19"/>
  <c r="D25" i="19"/>
  <c r="D26" i="19"/>
  <c r="D27" i="19"/>
  <c r="D28" i="19"/>
  <c r="D29" i="19"/>
  <c r="D30" i="19"/>
  <c r="D31" i="19"/>
  <c r="D32" i="19"/>
  <c r="D23" i="19"/>
  <c r="C23" i="19"/>
  <c r="C24" i="19" s="1"/>
  <c r="C25" i="19" s="1"/>
  <c r="C26" i="19" s="1"/>
  <c r="C27" i="19" s="1"/>
  <c r="C28" i="19" s="1"/>
  <c r="C29" i="19" s="1"/>
  <c r="C30" i="19" s="1"/>
  <c r="C31" i="19" s="1"/>
  <c r="C32" i="19" s="1"/>
  <c r="N22" i="19"/>
  <c r="M22" i="19"/>
  <c r="L22" i="19"/>
  <c r="K22" i="19"/>
  <c r="J22" i="19"/>
  <c r="I22" i="19"/>
  <c r="H22" i="19"/>
  <c r="G22" i="19"/>
  <c r="F22" i="19"/>
  <c r="E22" i="19"/>
  <c r="D22" i="19"/>
  <c r="C8" i="19"/>
  <c r="C9" i="19" s="1"/>
  <c r="C10" i="19" s="1"/>
  <c r="C11" i="19" s="1"/>
  <c r="C12" i="19" s="1"/>
  <c r="C13" i="19" s="1"/>
  <c r="C14" i="19" s="1"/>
  <c r="C15" i="19" s="1"/>
  <c r="C16" i="19" s="1"/>
  <c r="C17" i="19" s="1"/>
  <c r="AC32" i="2"/>
  <c r="AD32" i="2" s="1"/>
  <c r="AE32" i="2" s="1"/>
  <c r="AF32" i="2" s="1"/>
  <c r="AG32" i="2" s="1"/>
  <c r="AH32" i="2" s="1"/>
  <c r="AI32" i="2" s="1"/>
  <c r="AJ32" i="2" s="1"/>
  <c r="AK32" i="2" s="1"/>
  <c r="AL32" i="2" s="1"/>
  <c r="AK62" i="2"/>
  <c r="AE62" i="2"/>
  <c r="AF62" i="2"/>
  <c r="AG62" i="2"/>
  <c r="AH62" i="2"/>
  <c r="AH73" i="2" s="1"/>
  <c r="AI62" i="2"/>
  <c r="AJ62" i="2"/>
  <c r="AJ73" i="2" s="1"/>
  <c r="AL62" i="2"/>
  <c r="AL73" i="2" s="1"/>
  <c r="AE63" i="2"/>
  <c r="AE73" i="2" s="1"/>
  <c r="AF63" i="2"/>
  <c r="AG63" i="2"/>
  <c r="AH63" i="2"/>
  <c r="AI63" i="2"/>
  <c r="AI73" i="2" s="1"/>
  <c r="AJ63" i="2"/>
  <c r="AK63" i="2"/>
  <c r="AL63" i="2"/>
  <c r="AE64" i="2"/>
  <c r="AF64" i="2"/>
  <c r="AG64" i="2"/>
  <c r="AH64" i="2"/>
  <c r="AI64" i="2"/>
  <c r="AJ64" i="2"/>
  <c r="AK64" i="2"/>
  <c r="AL64" i="2"/>
  <c r="AE65" i="2"/>
  <c r="AF65" i="2"/>
  <c r="AG65" i="2"/>
  <c r="AH65" i="2"/>
  <c r="AI65" i="2"/>
  <c r="AJ65" i="2"/>
  <c r="AK65" i="2"/>
  <c r="AL65" i="2"/>
  <c r="AE66" i="2"/>
  <c r="AF66" i="2"/>
  <c r="AG66" i="2"/>
  <c r="AH66" i="2"/>
  <c r="AI66" i="2"/>
  <c r="AJ66" i="2"/>
  <c r="AK66" i="2"/>
  <c r="AL66" i="2"/>
  <c r="AE67" i="2"/>
  <c r="AF67" i="2"/>
  <c r="AG67" i="2"/>
  <c r="AH67" i="2"/>
  <c r="AI67" i="2"/>
  <c r="AJ67" i="2"/>
  <c r="AK67" i="2"/>
  <c r="AL67" i="2"/>
  <c r="AE68" i="2"/>
  <c r="AF68" i="2"/>
  <c r="AG68" i="2"/>
  <c r="AH68" i="2"/>
  <c r="AI68" i="2"/>
  <c r="AJ68" i="2"/>
  <c r="AK68" i="2"/>
  <c r="AL68" i="2"/>
  <c r="AE69" i="2"/>
  <c r="AF69" i="2"/>
  <c r="AG69" i="2"/>
  <c r="AH69" i="2"/>
  <c r="AI69" i="2"/>
  <c r="AJ69" i="2"/>
  <c r="AK69" i="2"/>
  <c r="AL69" i="2"/>
  <c r="AE70" i="2"/>
  <c r="AF70" i="2"/>
  <c r="AG70" i="2"/>
  <c r="AH70" i="2"/>
  <c r="AI70" i="2"/>
  <c r="AJ70" i="2"/>
  <c r="AK70" i="2"/>
  <c r="AL70" i="2"/>
  <c r="AE71" i="2"/>
  <c r="AF71" i="2"/>
  <c r="AG71" i="2"/>
  <c r="AH71" i="2"/>
  <c r="AI71" i="2"/>
  <c r="AJ71" i="2"/>
  <c r="AK71" i="2"/>
  <c r="AL71" i="2"/>
  <c r="AD62" i="2"/>
  <c r="AD73" i="2" s="1"/>
  <c r="AD63" i="2"/>
  <c r="AD64" i="2"/>
  <c r="AD65" i="2"/>
  <c r="AD66" i="2"/>
  <c r="AD67" i="2"/>
  <c r="AD68" i="2"/>
  <c r="AD69" i="2"/>
  <c r="AD70" i="2"/>
  <c r="AD71" i="2"/>
  <c r="AC63" i="2"/>
  <c r="AC64" i="2"/>
  <c r="AC65" i="2"/>
  <c r="AC66" i="2"/>
  <c r="AC67" i="2"/>
  <c r="AC68" i="2"/>
  <c r="AC69" i="2"/>
  <c r="AC70" i="2"/>
  <c r="AC71" i="2"/>
  <c r="AC62" i="2"/>
  <c r="AC73" i="2" s="1"/>
  <c r="AG25" i="3"/>
  <c r="AG97" i="17"/>
  <c r="AG96" i="17"/>
  <c r="AG95" i="17"/>
  <c r="AG94" i="17"/>
  <c r="AG93" i="17"/>
  <c r="AG92" i="17"/>
  <c r="AG91" i="17"/>
  <c r="AG90" i="17"/>
  <c r="AG89" i="17"/>
  <c r="AG81" i="17"/>
  <c r="AG80" i="17"/>
  <c r="AG79" i="17"/>
  <c r="AG78" i="17"/>
  <c r="AG77" i="17"/>
  <c r="AG76" i="17"/>
  <c r="AG75" i="17"/>
  <c r="AG74" i="17"/>
  <c r="AG73" i="17"/>
  <c r="AG65" i="17"/>
  <c r="AG64" i="17"/>
  <c r="AG63" i="17"/>
  <c r="AG62" i="17"/>
  <c r="AG61" i="17"/>
  <c r="AG60" i="17"/>
  <c r="AG59" i="17"/>
  <c r="AG58" i="17"/>
  <c r="AG57" i="17"/>
  <c r="AG49" i="17"/>
  <c r="AG48" i="17"/>
  <c r="AG47" i="17"/>
  <c r="AG46" i="17"/>
  <c r="AG45" i="17"/>
  <c r="AG44" i="17"/>
  <c r="AG43" i="17"/>
  <c r="AG42" i="17"/>
  <c r="AG41" i="17"/>
  <c r="AG33" i="17"/>
  <c r="AG32" i="17"/>
  <c r="AG31" i="17"/>
  <c r="AG30" i="17"/>
  <c r="AG29" i="17"/>
  <c r="AG28" i="17"/>
  <c r="AG27" i="17"/>
  <c r="AG26" i="17"/>
  <c r="AG25" i="17"/>
  <c r="AG17" i="17"/>
  <c r="AG16" i="17"/>
  <c r="AG15" i="17"/>
  <c r="AG14" i="17"/>
  <c r="AG13" i="17"/>
  <c r="AG12" i="17"/>
  <c r="AG11" i="17"/>
  <c r="AG10" i="17"/>
  <c r="AG9" i="17"/>
  <c r="AG194" i="3"/>
  <c r="AG193" i="3"/>
  <c r="AG192" i="3"/>
  <c r="AG191" i="3"/>
  <c r="AG190" i="3"/>
  <c r="AG189" i="3"/>
  <c r="AG188" i="3"/>
  <c r="AG187" i="3"/>
  <c r="AG186" i="3"/>
  <c r="AG178" i="3"/>
  <c r="AG177" i="3"/>
  <c r="AG176" i="3"/>
  <c r="AG175" i="3"/>
  <c r="AG174" i="3"/>
  <c r="AG173" i="3"/>
  <c r="AG172" i="3"/>
  <c r="AG171" i="3"/>
  <c r="AG170" i="3"/>
  <c r="AG162" i="3"/>
  <c r="AG161" i="3"/>
  <c r="AG160" i="3"/>
  <c r="AG159" i="3"/>
  <c r="AG158" i="3"/>
  <c r="AG157" i="3"/>
  <c r="AG156" i="3"/>
  <c r="AG155" i="3"/>
  <c r="AG154" i="3"/>
  <c r="AG146" i="3"/>
  <c r="AG145" i="3"/>
  <c r="AG144" i="3"/>
  <c r="AG143" i="3"/>
  <c r="AG142" i="3"/>
  <c r="AG141" i="3"/>
  <c r="AG140" i="3"/>
  <c r="AG139" i="3"/>
  <c r="AG138" i="3"/>
  <c r="AG130" i="3"/>
  <c r="AG129" i="3"/>
  <c r="AG128" i="3"/>
  <c r="AG127" i="3"/>
  <c r="AG126" i="3"/>
  <c r="AG125" i="3"/>
  <c r="AG124" i="3"/>
  <c r="AG123" i="3"/>
  <c r="AG122" i="3"/>
  <c r="AG114" i="3"/>
  <c r="AG113" i="3"/>
  <c r="AG112" i="3"/>
  <c r="AG111" i="3"/>
  <c r="AG110" i="3"/>
  <c r="AG109" i="3"/>
  <c r="AG108" i="3"/>
  <c r="AG107" i="3"/>
  <c r="AG106" i="3"/>
  <c r="AG97" i="3"/>
  <c r="AG96" i="3"/>
  <c r="AG95" i="3"/>
  <c r="AG94" i="3"/>
  <c r="AG93" i="3"/>
  <c r="AG92" i="3"/>
  <c r="AG91" i="3"/>
  <c r="AG90" i="3"/>
  <c r="AG89" i="3"/>
  <c r="AG81" i="3"/>
  <c r="AG80" i="3"/>
  <c r="AG79" i="3"/>
  <c r="AG78" i="3"/>
  <c r="AG77" i="3"/>
  <c r="AG76" i="3"/>
  <c r="AG75" i="3"/>
  <c r="AG74" i="3"/>
  <c r="AG73" i="3"/>
  <c r="AG65" i="3"/>
  <c r="AG64" i="3"/>
  <c r="AG63" i="3"/>
  <c r="AG62" i="3"/>
  <c r="AG61" i="3"/>
  <c r="AG60" i="3"/>
  <c r="AG59" i="3"/>
  <c r="AG58" i="3"/>
  <c r="AG57" i="3"/>
  <c r="AG49" i="3"/>
  <c r="AG48" i="3"/>
  <c r="AG47" i="3"/>
  <c r="AG46" i="3"/>
  <c r="AG45" i="3"/>
  <c r="AG44" i="3"/>
  <c r="AG43" i="3"/>
  <c r="AG42" i="3"/>
  <c r="AG41" i="3"/>
  <c r="AG33" i="3"/>
  <c r="AG32" i="3"/>
  <c r="AG31" i="3"/>
  <c r="AG30" i="3"/>
  <c r="AG29" i="3"/>
  <c r="AG28" i="3"/>
  <c r="AG27" i="3"/>
  <c r="AG26" i="3"/>
  <c r="AG17" i="3"/>
  <c r="AG16" i="3"/>
  <c r="AG15" i="3"/>
  <c r="AG14" i="3"/>
  <c r="AG13" i="3"/>
  <c r="AG12" i="3"/>
  <c r="AG11" i="3"/>
  <c r="AG10" i="3"/>
  <c r="AG9" i="3"/>
  <c r="J16" i="9"/>
  <c r="N248" i="19"/>
  <c r="M248" i="19"/>
  <c r="L248" i="19"/>
  <c r="K248" i="19"/>
  <c r="J248" i="19"/>
  <c r="I248" i="19"/>
  <c r="H248" i="19"/>
  <c r="G248" i="19"/>
  <c r="AG98" i="17"/>
  <c r="AG88" i="17"/>
  <c r="AG87" i="17"/>
  <c r="AG86" i="17"/>
  <c r="AG85" i="17"/>
  <c r="AG82" i="17"/>
  <c r="AG72" i="17"/>
  <c r="AG71" i="17"/>
  <c r="AG70" i="17"/>
  <c r="AG69" i="17"/>
  <c r="AG66" i="17"/>
  <c r="AG56" i="17"/>
  <c r="AG55" i="17"/>
  <c r="AG54" i="17"/>
  <c r="AG53" i="17"/>
  <c r="AG50" i="17"/>
  <c r="AG40" i="17"/>
  <c r="AG39" i="17"/>
  <c r="AG38" i="17"/>
  <c r="AG37" i="17"/>
  <c r="AG34" i="17"/>
  <c r="AG24" i="17"/>
  <c r="AG23" i="17"/>
  <c r="AG22" i="17"/>
  <c r="AG21" i="17"/>
  <c r="AG195" i="3"/>
  <c r="AG185" i="3"/>
  <c r="AG184" i="3"/>
  <c r="AG183" i="3"/>
  <c r="AG179" i="3"/>
  <c r="AG169" i="3"/>
  <c r="AG168" i="3"/>
  <c r="AG167" i="3"/>
  <c r="AG163" i="3"/>
  <c r="AG153" i="3"/>
  <c r="AG152" i="3"/>
  <c r="AG151" i="3"/>
  <c r="AG147" i="3"/>
  <c r="AG137" i="3"/>
  <c r="AG136" i="3"/>
  <c r="AG135" i="3"/>
  <c r="AG131" i="3"/>
  <c r="AG121" i="3"/>
  <c r="AG120" i="3"/>
  <c r="AG119" i="3"/>
  <c r="AG98" i="3"/>
  <c r="AG88" i="3"/>
  <c r="AG87" i="3"/>
  <c r="AG86" i="3"/>
  <c r="AG85" i="3"/>
  <c r="AG82" i="3"/>
  <c r="AG72" i="3"/>
  <c r="AG71" i="3"/>
  <c r="AG70" i="3"/>
  <c r="AG69" i="3"/>
  <c r="AG66" i="3"/>
  <c r="AG56" i="3"/>
  <c r="AG55" i="3"/>
  <c r="AG54" i="3"/>
  <c r="AG53" i="3"/>
  <c r="AG50" i="3"/>
  <c r="AG40" i="3"/>
  <c r="AG39" i="3"/>
  <c r="AG38" i="3"/>
  <c r="AG37" i="3"/>
  <c r="AG34" i="3"/>
  <c r="AG24" i="3"/>
  <c r="AG23" i="3"/>
  <c r="AG22" i="3"/>
  <c r="AG21" i="3"/>
  <c r="AG28" i="7"/>
  <c r="AG27" i="7"/>
  <c r="AG26" i="7"/>
  <c r="AG25" i="7"/>
  <c r="AG24" i="7"/>
  <c r="AG23" i="7"/>
  <c r="AG22" i="7"/>
  <c r="AG21" i="7"/>
  <c r="AG20" i="7"/>
  <c r="AG19" i="7"/>
  <c r="AC60" i="2"/>
  <c r="AD60" i="2" s="1"/>
  <c r="AE60" i="2" s="1"/>
  <c r="AF60" i="2" s="1"/>
  <c r="AG60" i="2" s="1"/>
  <c r="AH60" i="2" s="1"/>
  <c r="AI60" i="2" s="1"/>
  <c r="AJ60" i="2" s="1"/>
  <c r="AK60" i="2" s="1"/>
  <c r="AL60" i="2" s="1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79" i="2"/>
  <c r="AO80" i="2"/>
  <c r="AO81" i="2"/>
  <c r="AO59" i="2"/>
  <c r="AO58" i="2"/>
  <c r="AO57" i="2"/>
  <c r="AO56" i="2"/>
  <c r="AO55" i="2"/>
  <c r="AO52" i="2"/>
  <c r="AO51" i="2"/>
  <c r="AO50" i="2"/>
  <c r="AO49" i="2"/>
  <c r="AO48" i="2"/>
  <c r="AG73" i="2"/>
  <c r="AK73" i="2"/>
  <c r="AF73" i="2"/>
  <c r="AO95" i="2"/>
  <c r="AO94" i="2"/>
  <c r="AO93" i="2"/>
  <c r="AO92" i="2"/>
  <c r="AO91" i="2"/>
  <c r="AO90" i="2"/>
  <c r="AO89" i="2"/>
  <c r="AO88" i="2"/>
  <c r="AO87" i="2"/>
  <c r="Q9" i="3"/>
  <c r="Q8" i="3"/>
  <c r="AO46" i="2"/>
  <c r="AO45" i="2"/>
  <c r="AO44" i="2"/>
  <c r="AO43" i="2"/>
  <c r="AO42" i="2"/>
  <c r="AO41" i="2"/>
  <c r="AO40" i="2"/>
  <c r="AO39" i="2"/>
  <c r="AO38" i="2"/>
  <c r="AO37" i="2"/>
  <c r="AO36" i="2"/>
  <c r="AO35" i="2"/>
  <c r="AO34" i="2"/>
  <c r="AO33" i="2"/>
  <c r="AO32" i="2"/>
  <c r="AO31" i="2"/>
  <c r="AO30" i="2"/>
  <c r="AO29" i="2"/>
  <c r="AO53" i="2"/>
  <c r="AO47" i="2"/>
  <c r="AO28" i="2"/>
  <c r="AO27" i="2"/>
  <c r="AO26" i="2"/>
  <c r="AO25" i="2"/>
  <c r="AO24" i="2"/>
  <c r="AO23" i="2"/>
  <c r="AO22" i="2"/>
  <c r="AO21" i="2"/>
  <c r="AO20" i="2"/>
  <c r="AO19" i="2"/>
  <c r="AO18" i="2"/>
  <c r="AO17" i="2"/>
  <c r="AO16" i="2"/>
  <c r="AO15" i="2"/>
  <c r="AO14" i="2"/>
  <c r="AO13" i="2"/>
  <c r="AO12" i="2"/>
  <c r="AO11" i="2"/>
  <c r="AO10" i="2"/>
  <c r="AO9" i="2"/>
  <c r="AO8" i="2"/>
  <c r="AO7" i="2"/>
  <c r="P200" i="17"/>
  <c r="O200" i="17"/>
  <c r="N200" i="17"/>
  <c r="M200" i="17"/>
  <c r="H200" i="17"/>
  <c r="G200" i="17"/>
  <c r="F200" i="17"/>
  <c r="E200" i="17"/>
  <c r="I200" i="4"/>
  <c r="H200" i="4"/>
  <c r="G200" i="4"/>
  <c r="F200" i="4"/>
  <c r="P200" i="3"/>
  <c r="O200" i="3"/>
  <c r="N200" i="3"/>
  <c r="M200" i="3"/>
  <c r="H200" i="3"/>
  <c r="G200" i="3"/>
  <c r="F200" i="3"/>
  <c r="E200" i="3"/>
  <c r="AN200" i="2"/>
  <c r="AL200" i="2"/>
  <c r="AK200" i="2"/>
  <c r="AJ200" i="2"/>
  <c r="AI200" i="2"/>
  <c r="AH200" i="2"/>
  <c r="AG200" i="2"/>
  <c r="AF200" i="2"/>
  <c r="AE200" i="2"/>
  <c r="AD200" i="2"/>
  <c r="AG12" i="7"/>
  <c r="AG11" i="7"/>
  <c r="AG10" i="7"/>
  <c r="AG9" i="7"/>
  <c r="N55" i="19"/>
  <c r="M55" i="19"/>
  <c r="L55" i="19"/>
  <c r="K55" i="19"/>
  <c r="J55" i="19"/>
  <c r="I55" i="19"/>
  <c r="H55" i="19"/>
  <c r="D72" i="19"/>
  <c r="D73" i="19" s="1"/>
  <c r="D74" i="19" s="1"/>
  <c r="D75" i="19" s="1"/>
  <c r="D76" i="19" s="1"/>
  <c r="D77" i="19" s="1"/>
  <c r="D78" i="19" s="1"/>
  <c r="D79" i="19" s="1"/>
  <c r="D80" i="19" s="1"/>
  <c r="D81" i="19" s="1"/>
  <c r="C56" i="19"/>
  <c r="C57" i="19" s="1"/>
  <c r="C58" i="19" s="1"/>
  <c r="C59" i="19" s="1"/>
  <c r="C60" i="19" s="1"/>
  <c r="C61" i="19" s="1"/>
  <c r="C62" i="19" s="1"/>
  <c r="C63" i="19" s="1"/>
  <c r="C64" i="19" s="1"/>
  <c r="C65" i="19" s="1"/>
  <c r="C85" i="17"/>
  <c r="H87" i="17"/>
  <c r="G87" i="17"/>
  <c r="F87" i="17"/>
  <c r="E87" i="17"/>
  <c r="D87" i="17"/>
  <c r="K69" i="17"/>
  <c r="C69" i="17"/>
  <c r="C53" i="17"/>
  <c r="K53" i="17"/>
  <c r="K37" i="17"/>
  <c r="C37" i="17"/>
  <c r="C183" i="3"/>
  <c r="K167" i="3"/>
  <c r="C167" i="3"/>
  <c r="K151" i="3"/>
  <c r="C151" i="3"/>
  <c r="K135" i="3"/>
  <c r="C135" i="3"/>
  <c r="H184" i="3"/>
  <c r="G184" i="3"/>
  <c r="F184" i="3"/>
  <c r="E184" i="3"/>
  <c r="D184" i="3"/>
  <c r="P168" i="3"/>
  <c r="O168" i="3"/>
  <c r="N168" i="3"/>
  <c r="M168" i="3"/>
  <c r="L168" i="3"/>
  <c r="H168" i="3"/>
  <c r="G168" i="3"/>
  <c r="F168" i="3"/>
  <c r="E168" i="3"/>
  <c r="D168" i="3"/>
  <c r="P152" i="3"/>
  <c r="O152" i="3"/>
  <c r="N152" i="3"/>
  <c r="M152" i="3"/>
  <c r="L152" i="3"/>
  <c r="H152" i="3"/>
  <c r="G152" i="3"/>
  <c r="F152" i="3"/>
  <c r="E152" i="3"/>
  <c r="D152" i="3"/>
  <c r="P136" i="3"/>
  <c r="O136" i="3"/>
  <c r="N136" i="3"/>
  <c r="M136" i="3"/>
  <c r="L136" i="3"/>
  <c r="H136" i="3"/>
  <c r="G136" i="3"/>
  <c r="F136" i="3"/>
  <c r="E136" i="3"/>
  <c r="D136" i="3"/>
  <c r="C85" i="3"/>
  <c r="I97" i="3"/>
  <c r="I96" i="3"/>
  <c r="I95" i="3"/>
  <c r="I94" i="3"/>
  <c r="I93" i="3"/>
  <c r="I92" i="3"/>
  <c r="I91" i="3"/>
  <c r="I90" i="3"/>
  <c r="I89" i="3"/>
  <c r="I88" i="3"/>
  <c r="H86" i="3"/>
  <c r="G86" i="3"/>
  <c r="F86" i="3"/>
  <c r="E86" i="3"/>
  <c r="D86" i="3"/>
  <c r="K69" i="3"/>
  <c r="C69" i="3"/>
  <c r="Q81" i="3"/>
  <c r="I81" i="3"/>
  <c r="Q80" i="3"/>
  <c r="I80" i="3"/>
  <c r="Q79" i="3"/>
  <c r="I79" i="3"/>
  <c r="Q78" i="3"/>
  <c r="I78" i="3"/>
  <c r="Q77" i="3"/>
  <c r="I77" i="3"/>
  <c r="Q76" i="3"/>
  <c r="I76" i="3"/>
  <c r="Q75" i="3"/>
  <c r="I75" i="3"/>
  <c r="Q74" i="3"/>
  <c r="I74" i="3"/>
  <c r="Q73" i="3"/>
  <c r="I73" i="3"/>
  <c r="Q72" i="3"/>
  <c r="I72" i="3"/>
  <c r="P70" i="3"/>
  <c r="O70" i="3"/>
  <c r="N70" i="3"/>
  <c r="M70" i="3"/>
  <c r="L70" i="3"/>
  <c r="H70" i="3"/>
  <c r="G70" i="3"/>
  <c r="F70" i="3"/>
  <c r="E70" i="3"/>
  <c r="D70" i="3"/>
  <c r="K53" i="3"/>
  <c r="C53" i="3"/>
  <c r="K37" i="3"/>
  <c r="C37" i="3"/>
  <c r="Q65" i="3"/>
  <c r="I65" i="3"/>
  <c r="Q64" i="3"/>
  <c r="I64" i="3"/>
  <c r="Q63" i="3"/>
  <c r="I63" i="3"/>
  <c r="Q62" i="3"/>
  <c r="I62" i="3"/>
  <c r="Q61" i="3"/>
  <c r="I61" i="3"/>
  <c r="Q60" i="3"/>
  <c r="I60" i="3"/>
  <c r="Q59" i="3"/>
  <c r="I59" i="3"/>
  <c r="Q58" i="3"/>
  <c r="I58" i="3"/>
  <c r="Q57" i="3"/>
  <c r="I57" i="3"/>
  <c r="Q56" i="3"/>
  <c r="I56" i="3"/>
  <c r="P54" i="3"/>
  <c r="O54" i="3"/>
  <c r="N54" i="3"/>
  <c r="M54" i="3"/>
  <c r="L54" i="3"/>
  <c r="H54" i="3"/>
  <c r="G54" i="3"/>
  <c r="F54" i="3"/>
  <c r="E54" i="3"/>
  <c r="D54" i="3"/>
  <c r="Q49" i="3"/>
  <c r="I49" i="3"/>
  <c r="Q48" i="3"/>
  <c r="I48" i="3"/>
  <c r="Q47" i="3"/>
  <c r="I47" i="3"/>
  <c r="Q46" i="3"/>
  <c r="I46" i="3"/>
  <c r="Q45" i="3"/>
  <c r="I45" i="3"/>
  <c r="Q44" i="3"/>
  <c r="I44" i="3"/>
  <c r="Q43" i="3"/>
  <c r="I43" i="3"/>
  <c r="Q42" i="3"/>
  <c r="I42" i="3"/>
  <c r="Q41" i="3"/>
  <c r="I41" i="3"/>
  <c r="Q40" i="3"/>
  <c r="I40" i="3"/>
  <c r="P38" i="3"/>
  <c r="O38" i="3"/>
  <c r="N38" i="3"/>
  <c r="M38" i="3"/>
  <c r="L38" i="3"/>
  <c r="H38" i="3"/>
  <c r="G38" i="3"/>
  <c r="F38" i="3"/>
  <c r="E38" i="3"/>
  <c r="D38" i="3"/>
  <c r="P71" i="17"/>
  <c r="O71" i="17"/>
  <c r="N71" i="17"/>
  <c r="M71" i="17"/>
  <c r="L71" i="17"/>
  <c r="H71" i="17"/>
  <c r="G71" i="17"/>
  <c r="F71" i="17"/>
  <c r="E71" i="17"/>
  <c r="D71" i="17"/>
  <c r="P55" i="17"/>
  <c r="O55" i="17"/>
  <c r="N55" i="17"/>
  <c r="M55" i="17"/>
  <c r="L55" i="17"/>
  <c r="H55" i="17"/>
  <c r="G55" i="17"/>
  <c r="F55" i="17"/>
  <c r="E55" i="17"/>
  <c r="D55" i="17"/>
  <c r="P39" i="17"/>
  <c r="O39" i="17"/>
  <c r="N39" i="17"/>
  <c r="M39" i="17"/>
  <c r="L39" i="17"/>
  <c r="H39" i="17"/>
  <c r="G39" i="17"/>
  <c r="F39" i="17"/>
  <c r="E39" i="17"/>
  <c r="D39" i="17"/>
  <c r="G55" i="19"/>
  <c r="F55" i="19"/>
  <c r="D55" i="19"/>
  <c r="E71" i="19" s="1"/>
  <c r="Q33" i="3"/>
  <c r="Q32" i="3"/>
  <c r="Q31" i="3"/>
  <c r="Q30" i="3"/>
  <c r="Q29" i="3"/>
  <c r="Q28" i="3"/>
  <c r="Q27" i="3"/>
  <c r="Q26" i="3"/>
  <c r="Q25" i="3"/>
  <c r="Q24" i="3"/>
  <c r="I33" i="3"/>
  <c r="I32" i="3"/>
  <c r="I31" i="3"/>
  <c r="I30" i="3"/>
  <c r="I29" i="3"/>
  <c r="I28" i="3"/>
  <c r="I27" i="3"/>
  <c r="I26" i="3"/>
  <c r="I25" i="3"/>
  <c r="I24" i="3"/>
  <c r="Q17" i="3"/>
  <c r="Q16" i="3"/>
  <c r="Q15" i="3"/>
  <c r="Q14" i="3"/>
  <c r="Q13" i="3"/>
  <c r="Q12" i="3"/>
  <c r="Q11" i="3"/>
  <c r="Q10" i="3"/>
  <c r="I17" i="3"/>
  <c r="I16" i="3"/>
  <c r="I15" i="3"/>
  <c r="I14" i="3"/>
  <c r="I13" i="3"/>
  <c r="I12" i="3"/>
  <c r="I11" i="3"/>
  <c r="I10" i="3"/>
  <c r="I9" i="3"/>
  <c r="I8" i="3"/>
  <c r="E48" i="4"/>
  <c r="F48" i="4"/>
  <c r="I20" i="4"/>
  <c r="I48" i="4"/>
  <c r="H48" i="4"/>
  <c r="G48" i="4"/>
  <c r="F38" i="9"/>
  <c r="G6" i="9"/>
  <c r="G7" i="9" s="1"/>
  <c r="K5" i="17"/>
  <c r="K21" i="17"/>
  <c r="C21" i="17"/>
  <c r="C5" i="17"/>
  <c r="D23" i="17"/>
  <c r="D7" i="17"/>
  <c r="P23" i="17"/>
  <c r="O23" i="17"/>
  <c r="N23" i="17"/>
  <c r="M23" i="17"/>
  <c r="L23" i="17"/>
  <c r="H23" i="17"/>
  <c r="G23" i="17"/>
  <c r="F23" i="17"/>
  <c r="E23" i="17"/>
  <c r="P7" i="17"/>
  <c r="O7" i="17"/>
  <c r="N7" i="17"/>
  <c r="M7" i="17"/>
  <c r="L7" i="17"/>
  <c r="H7" i="17"/>
  <c r="G7" i="17"/>
  <c r="F7" i="17"/>
  <c r="E7" i="17"/>
  <c r="H120" i="3"/>
  <c r="P120" i="3"/>
  <c r="P104" i="3"/>
  <c r="H104" i="3"/>
  <c r="P22" i="3"/>
  <c r="H22" i="3"/>
  <c r="P6" i="3"/>
  <c r="H6" i="3"/>
  <c r="K119" i="3"/>
  <c r="C119" i="3"/>
  <c r="K103" i="3"/>
  <c r="C103" i="3"/>
  <c r="O120" i="3"/>
  <c r="N120" i="3"/>
  <c r="M120" i="3"/>
  <c r="L120" i="3"/>
  <c r="G120" i="3"/>
  <c r="F120" i="3"/>
  <c r="E120" i="3"/>
  <c r="D120" i="3"/>
  <c r="K21" i="3"/>
  <c r="C21" i="3"/>
  <c r="K5" i="3"/>
  <c r="C5" i="3"/>
  <c r="O22" i="3"/>
  <c r="N22" i="3"/>
  <c r="M22" i="3"/>
  <c r="L22" i="3"/>
  <c r="G22" i="3"/>
  <c r="F22" i="3"/>
  <c r="E22" i="3"/>
  <c r="D22" i="3"/>
  <c r="I63" i="4"/>
  <c r="I35" i="4"/>
  <c r="C51" i="19" s="1"/>
  <c r="I7" i="4"/>
  <c r="C42" i="19" s="1"/>
  <c r="D30" i="2"/>
  <c r="O104" i="3"/>
  <c r="N104" i="3"/>
  <c r="M104" i="3"/>
  <c r="L104" i="3"/>
  <c r="G104" i="3"/>
  <c r="F104" i="3"/>
  <c r="E104" i="3"/>
  <c r="D104" i="3"/>
  <c r="L6" i="3"/>
  <c r="O6" i="3"/>
  <c r="N6" i="3"/>
  <c r="M6" i="3"/>
  <c r="E6" i="3"/>
  <c r="D6" i="3"/>
  <c r="H63" i="4"/>
  <c r="G63" i="4"/>
  <c r="F63" i="4"/>
  <c r="H35" i="4"/>
  <c r="C50" i="19" s="1"/>
  <c r="G35" i="4"/>
  <c r="C49" i="19" s="1"/>
  <c r="F35" i="4"/>
  <c r="C48" i="19" s="1"/>
  <c r="H7" i="4"/>
  <c r="C41" i="19" s="1"/>
  <c r="G7" i="4"/>
  <c r="C40" i="19" s="1"/>
  <c r="F7" i="4"/>
  <c r="C39" i="19" s="1"/>
  <c r="E63" i="4"/>
  <c r="E35" i="4"/>
  <c r="C47" i="19" s="1"/>
  <c r="E7" i="4"/>
  <c r="C38" i="19" s="1"/>
  <c r="F40" i="9"/>
  <c r="AC41" i="2"/>
  <c r="G66" i="4"/>
  <c r="D49" i="19"/>
  <c r="I66" i="4"/>
  <c r="D51" i="19"/>
  <c r="F66" i="4"/>
  <c r="D48" i="19"/>
  <c r="H66" i="4"/>
  <c r="D50" i="19"/>
  <c r="E66" i="4"/>
  <c r="D47" i="19"/>
  <c r="I65" i="4"/>
  <c r="D42" i="19"/>
  <c r="AC25" i="2"/>
  <c r="I67" i="4"/>
  <c r="I91" i="2"/>
  <c r="F14" i="22" s="1"/>
  <c r="I92" i="2"/>
  <c r="L175" i="3" s="1"/>
  <c r="M174" i="3"/>
  <c r="G174" i="3"/>
  <c r="G158" i="3"/>
  <c r="N142" i="3"/>
  <c r="N126" i="3"/>
  <c r="L110" i="3"/>
  <c r="E110" i="3"/>
  <c r="I93" i="2"/>
  <c r="F192" i="3" s="1"/>
  <c r="D191" i="3"/>
  <c r="F175" i="3"/>
  <c r="E175" i="3"/>
  <c r="G159" i="3"/>
  <c r="F159" i="3"/>
  <c r="P143" i="3"/>
  <c r="P46" i="17" s="1"/>
  <c r="O127" i="3"/>
  <c r="D127" i="3"/>
  <c r="H127" i="3"/>
  <c r="H30" i="17" s="1"/>
  <c r="E111" i="3"/>
  <c r="D111" i="3"/>
  <c r="I94" i="2"/>
  <c r="F17" i="22"/>
  <c r="G192" i="3"/>
  <c r="G176" i="3"/>
  <c r="L160" i="3"/>
  <c r="D144" i="3"/>
  <c r="F128" i="3"/>
  <c r="D16" i="19"/>
  <c r="I10" i="23" s="1"/>
  <c r="I20" i="23" s="1"/>
  <c r="I30" i="23" s="1"/>
  <c r="I40" i="23" s="1"/>
  <c r="I50" i="23" s="1"/>
  <c r="I60" i="23" s="1"/>
  <c r="I70" i="23" s="1"/>
  <c r="I80" i="23" s="1"/>
  <c r="I90" i="23" s="1"/>
  <c r="I100" i="23" s="1"/>
  <c r="I110" i="23" s="1"/>
  <c r="I120" i="23" s="1"/>
  <c r="I130" i="23" s="1"/>
  <c r="I140" i="23" s="1"/>
  <c r="I150" i="23" s="1"/>
  <c r="I160" i="23" s="1"/>
  <c r="I170" i="23" s="1"/>
  <c r="I180" i="23" s="1"/>
  <c r="I190" i="23" s="1"/>
  <c r="I200" i="23" s="1"/>
  <c r="I210" i="23" s="1"/>
  <c r="I220" i="23" s="1"/>
  <c r="I230" i="23" s="1"/>
  <c r="I240" i="23" s="1"/>
  <c r="I250" i="23" s="1"/>
  <c r="I260" i="23" s="1"/>
  <c r="I270" i="23" s="1"/>
  <c r="I280" i="23" s="1"/>
  <c r="I290" i="23" s="1"/>
  <c r="I300" i="23" s="1"/>
  <c r="I310" i="23" s="1"/>
  <c r="I320" i="23" s="1"/>
  <c r="I330" i="23" s="1"/>
  <c r="I340" i="23" s="1"/>
  <c r="I350" i="23" s="1"/>
  <c r="I360" i="23" s="1"/>
  <c r="I370" i="23" s="1"/>
  <c r="I380" i="23" s="1"/>
  <c r="I390" i="23" s="1"/>
  <c r="I400" i="23" s="1"/>
  <c r="I410" i="23" s="1"/>
  <c r="I420" i="23" s="1"/>
  <c r="I430" i="23" s="1"/>
  <c r="I440" i="23" s="1"/>
  <c r="I450" i="23" s="1"/>
  <c r="I460" i="23" s="1"/>
  <c r="I470" i="23" s="1"/>
  <c r="I480" i="23" s="1"/>
  <c r="I490" i="23" s="1"/>
  <c r="I500" i="23" s="1"/>
  <c r="I510" i="23" s="1"/>
  <c r="I520" i="23" s="1"/>
  <c r="I530" i="23" s="1"/>
  <c r="I540" i="23" s="1"/>
  <c r="I550" i="23" s="1"/>
  <c r="I95" i="2"/>
  <c r="F18" i="22" s="1"/>
  <c r="E193" i="3"/>
  <c r="D193" i="3"/>
  <c r="F193" i="3"/>
  <c r="G193" i="3"/>
  <c r="H193" i="3"/>
  <c r="H96" i="17" s="1"/>
  <c r="M177" i="3"/>
  <c r="L177" i="3"/>
  <c r="P177" i="3"/>
  <c r="P80" i="17" s="1"/>
  <c r="O177" i="3"/>
  <c r="N177" i="3"/>
  <c r="E177" i="3"/>
  <c r="D177" i="3"/>
  <c r="H177" i="3"/>
  <c r="H80" i="17" s="1"/>
  <c r="F177" i="3"/>
  <c r="G177" i="3"/>
  <c r="M161" i="3"/>
  <c r="L161" i="3"/>
  <c r="P161" i="3"/>
  <c r="P64" i="17" s="1"/>
  <c r="O161" i="3"/>
  <c r="N161" i="3"/>
  <c r="E161" i="3"/>
  <c r="D161" i="3"/>
  <c r="F161" i="3"/>
  <c r="G161" i="3"/>
  <c r="H161" i="3"/>
  <c r="H64" i="17" s="1"/>
  <c r="M145" i="3"/>
  <c r="L145" i="3"/>
  <c r="P145" i="3"/>
  <c r="P48" i="17" s="1"/>
  <c r="O145" i="3"/>
  <c r="N145" i="3"/>
  <c r="E145" i="3"/>
  <c r="D145" i="3"/>
  <c r="H145" i="3"/>
  <c r="H48" i="17" s="1"/>
  <c r="G145" i="3"/>
  <c r="F145" i="3"/>
  <c r="M129" i="3"/>
  <c r="L129" i="3"/>
  <c r="N129" i="3"/>
  <c r="O129" i="3"/>
  <c r="P129" i="3"/>
  <c r="P32" i="17" s="1"/>
  <c r="E129" i="3"/>
  <c r="D129" i="3"/>
  <c r="H129" i="3"/>
  <c r="H32" i="17" s="1"/>
  <c r="G129" i="3"/>
  <c r="F129" i="3"/>
  <c r="M113" i="3"/>
  <c r="L113" i="3"/>
  <c r="N113" i="3"/>
  <c r="P113" i="3"/>
  <c r="P16" i="17" s="1"/>
  <c r="O113" i="3"/>
  <c r="E113" i="3"/>
  <c r="D113" i="3"/>
  <c r="H113" i="3"/>
  <c r="H16" i="17" s="1"/>
  <c r="G113" i="3"/>
  <c r="F113" i="3"/>
  <c r="H194" i="3"/>
  <c r="H97" i="17" s="1"/>
  <c r="G194" i="3"/>
  <c r="D194" i="3"/>
  <c r="P178" i="3"/>
  <c r="M178" i="3"/>
  <c r="L178" i="3"/>
  <c r="F178" i="3"/>
  <c r="E178" i="3"/>
  <c r="L162" i="3"/>
  <c r="M162" i="3"/>
  <c r="H162" i="3"/>
  <c r="H65" i="17" s="1"/>
  <c r="G162" i="3"/>
  <c r="F162" i="3"/>
  <c r="P146" i="3"/>
  <c r="P49" i="17" s="1"/>
  <c r="M146" i="3"/>
  <c r="L146" i="3"/>
  <c r="F146" i="3"/>
  <c r="E146" i="3"/>
  <c r="O130" i="3"/>
  <c r="N130" i="3"/>
  <c r="H130" i="3"/>
  <c r="G130" i="3"/>
  <c r="D130" i="3"/>
  <c r="P114" i="3"/>
  <c r="M114" i="3"/>
  <c r="L114" i="3"/>
  <c r="F114" i="3"/>
  <c r="E114" i="3"/>
  <c r="E5" i="24" l="1"/>
  <c r="AC43" i="2"/>
  <c r="AC24" i="2"/>
  <c r="AC34" i="2"/>
  <c r="M71" i="19"/>
  <c r="I71" i="19"/>
  <c r="M462" i="23"/>
  <c r="M463" i="23" s="1"/>
  <c r="M464" i="23" s="1"/>
  <c r="M465" i="23" s="1"/>
  <c r="M466" i="23" s="1"/>
  <c r="M467" i="23" s="1"/>
  <c r="M468" i="23" s="1"/>
  <c r="M469" i="23" s="1"/>
  <c r="M470" i="23" s="1"/>
  <c r="M471" i="23" s="1"/>
  <c r="M512" i="23"/>
  <c r="M513" i="23" s="1"/>
  <c r="M514" i="23" s="1"/>
  <c r="M515" i="23" s="1"/>
  <c r="M516" i="23" s="1"/>
  <c r="M517" i="23" s="1"/>
  <c r="M518" i="23" s="1"/>
  <c r="M519" i="23" s="1"/>
  <c r="M520" i="23" s="1"/>
  <c r="M521" i="23" s="1"/>
  <c r="M362" i="23"/>
  <c r="M363" i="23" s="1"/>
  <c r="M364" i="23" s="1"/>
  <c r="M365" i="23" s="1"/>
  <c r="M366" i="23" s="1"/>
  <c r="M367" i="23" s="1"/>
  <c r="M368" i="23" s="1"/>
  <c r="M369" i="23" s="1"/>
  <c r="M370" i="23" s="1"/>
  <c r="M371" i="23" s="1"/>
  <c r="M212" i="23"/>
  <c r="M213" i="23" s="1"/>
  <c r="M214" i="23" s="1"/>
  <c r="M215" i="23" s="1"/>
  <c r="M216" i="23" s="1"/>
  <c r="M217" i="23" s="1"/>
  <c r="M218" i="23" s="1"/>
  <c r="M219" i="23" s="1"/>
  <c r="M220" i="23" s="1"/>
  <c r="M221" i="23" s="1"/>
  <c r="M62" i="23"/>
  <c r="M63" i="23" s="1"/>
  <c r="M64" i="23" s="1"/>
  <c r="M65" i="23" s="1"/>
  <c r="M66" i="23" s="1"/>
  <c r="M67" i="23" s="1"/>
  <c r="M68" i="23" s="1"/>
  <c r="M69" i="23" s="1"/>
  <c r="M70" i="23" s="1"/>
  <c r="M71" i="23" s="1"/>
  <c r="M112" i="23"/>
  <c r="M113" i="23" s="1"/>
  <c r="M114" i="23" s="1"/>
  <c r="M115" i="23" s="1"/>
  <c r="M116" i="23" s="1"/>
  <c r="M117" i="23" s="1"/>
  <c r="M118" i="23" s="1"/>
  <c r="M119" i="23" s="1"/>
  <c r="M120" i="23" s="1"/>
  <c r="M121" i="23" s="1"/>
  <c r="M262" i="23"/>
  <c r="M263" i="23" s="1"/>
  <c r="M264" i="23" s="1"/>
  <c r="M265" i="23" s="1"/>
  <c r="M266" i="23" s="1"/>
  <c r="M267" i="23" s="1"/>
  <c r="M268" i="23" s="1"/>
  <c r="M269" i="23" s="1"/>
  <c r="M270" i="23" s="1"/>
  <c r="M271" i="23" s="1"/>
  <c r="M412" i="23"/>
  <c r="M413" i="23" s="1"/>
  <c r="M414" i="23" s="1"/>
  <c r="M415" i="23" s="1"/>
  <c r="M416" i="23" s="1"/>
  <c r="M417" i="23" s="1"/>
  <c r="M418" i="23" s="1"/>
  <c r="M419" i="23" s="1"/>
  <c r="M420" i="23" s="1"/>
  <c r="M421" i="23" s="1"/>
  <c r="M12" i="23"/>
  <c r="M13" i="23" s="1"/>
  <c r="M14" i="23" s="1"/>
  <c r="M15" i="23" s="1"/>
  <c r="M16" i="23" s="1"/>
  <c r="M17" i="23" s="1"/>
  <c r="M18" i="23" s="1"/>
  <c r="M19" i="23" s="1"/>
  <c r="M20" i="23" s="1"/>
  <c r="M21" i="23" s="1"/>
  <c r="M162" i="23"/>
  <c r="M163" i="23" s="1"/>
  <c r="M164" i="23" s="1"/>
  <c r="M165" i="23" s="1"/>
  <c r="M166" i="23" s="1"/>
  <c r="M167" i="23" s="1"/>
  <c r="M168" i="23" s="1"/>
  <c r="M169" i="23" s="1"/>
  <c r="M170" i="23" s="1"/>
  <c r="M171" i="23" s="1"/>
  <c r="M312" i="23"/>
  <c r="M313" i="23" s="1"/>
  <c r="M314" i="23" s="1"/>
  <c r="M315" i="23" s="1"/>
  <c r="M316" i="23" s="1"/>
  <c r="M317" i="23" s="1"/>
  <c r="M318" i="23" s="1"/>
  <c r="M319" i="23" s="1"/>
  <c r="M320" i="23" s="1"/>
  <c r="M321" i="23" s="1"/>
  <c r="H12" i="23"/>
  <c r="H22" i="23" s="1"/>
  <c r="A22" i="23" s="1"/>
  <c r="H3" i="23"/>
  <c r="A3" i="23" s="1"/>
  <c r="E130" i="3"/>
  <c r="G178" i="3"/>
  <c r="E126" i="3"/>
  <c r="G114" i="3"/>
  <c r="P130" i="3"/>
  <c r="P33" i="17" s="1"/>
  <c r="N146" i="3"/>
  <c r="O162" i="3"/>
  <c r="E194" i="3"/>
  <c r="G128" i="3"/>
  <c r="M160" i="3"/>
  <c r="M127" i="3"/>
  <c r="P159" i="3"/>
  <c r="P62" i="17" s="1"/>
  <c r="P142" i="3"/>
  <c r="P45" i="17" s="1"/>
  <c r="D174" i="3"/>
  <c r="H114" i="3"/>
  <c r="H17" i="17" s="1"/>
  <c r="F130" i="3"/>
  <c r="D146" i="3"/>
  <c r="O146" i="3"/>
  <c r="N162" i="3"/>
  <c r="H178" i="3"/>
  <c r="H81" i="17" s="1"/>
  <c r="F194" i="3"/>
  <c r="P128" i="3"/>
  <c r="P31" i="17" s="1"/>
  <c r="N160" i="3"/>
  <c r="N127" i="3"/>
  <c r="D175" i="3"/>
  <c r="D14" i="19"/>
  <c r="I8" i="23" s="1"/>
  <c r="I18" i="23" s="1"/>
  <c r="I28" i="23" s="1"/>
  <c r="I38" i="23" s="1"/>
  <c r="I48" i="23" s="1"/>
  <c r="I58" i="23" s="1"/>
  <c r="I68" i="23" s="1"/>
  <c r="I78" i="23" s="1"/>
  <c r="I88" i="23" s="1"/>
  <c r="I98" i="23" s="1"/>
  <c r="I108" i="23" s="1"/>
  <c r="I118" i="23" s="1"/>
  <c r="I128" i="23" s="1"/>
  <c r="I138" i="23" s="1"/>
  <c r="I148" i="23" s="1"/>
  <c r="I158" i="23" s="1"/>
  <c r="I168" i="23" s="1"/>
  <c r="I178" i="23" s="1"/>
  <c r="I188" i="23" s="1"/>
  <c r="I198" i="23" s="1"/>
  <c r="I208" i="23" s="1"/>
  <c r="I218" i="23" s="1"/>
  <c r="I228" i="23" s="1"/>
  <c r="I238" i="23" s="1"/>
  <c r="I248" i="23" s="1"/>
  <c r="I258" i="23" s="1"/>
  <c r="I268" i="23" s="1"/>
  <c r="I278" i="23" s="1"/>
  <c r="I288" i="23" s="1"/>
  <c r="I298" i="23" s="1"/>
  <c r="I308" i="23" s="1"/>
  <c r="I318" i="23" s="1"/>
  <c r="I328" i="23" s="1"/>
  <c r="I338" i="23" s="1"/>
  <c r="I348" i="23" s="1"/>
  <c r="I358" i="23" s="1"/>
  <c r="I368" i="23" s="1"/>
  <c r="I378" i="23" s="1"/>
  <c r="I388" i="23" s="1"/>
  <c r="I398" i="23" s="1"/>
  <c r="I408" i="23" s="1"/>
  <c r="I418" i="23" s="1"/>
  <c r="I428" i="23" s="1"/>
  <c r="I438" i="23" s="1"/>
  <c r="I448" i="23" s="1"/>
  <c r="I458" i="23" s="1"/>
  <c r="I468" i="23" s="1"/>
  <c r="I478" i="23" s="1"/>
  <c r="I488" i="23" s="1"/>
  <c r="I498" i="23" s="1"/>
  <c r="I508" i="23" s="1"/>
  <c r="I518" i="23" s="1"/>
  <c r="I528" i="23" s="1"/>
  <c r="I538" i="23" s="1"/>
  <c r="I548" i="23" s="1"/>
  <c r="M126" i="3"/>
  <c r="E158" i="3"/>
  <c r="P174" i="3"/>
  <c r="P77" i="17" s="1"/>
  <c r="G112" i="3"/>
  <c r="E144" i="3"/>
  <c r="H176" i="3"/>
  <c r="H79" i="17" s="1"/>
  <c r="F110" i="3"/>
  <c r="O126" i="3"/>
  <c r="H158" i="3"/>
  <c r="H61" i="17" s="1"/>
  <c r="L174" i="3"/>
  <c r="N114" i="3"/>
  <c r="E162" i="3"/>
  <c r="H112" i="3"/>
  <c r="H15" i="17" s="1"/>
  <c r="L144" i="3"/>
  <c r="L176" i="3"/>
  <c r="F111" i="3"/>
  <c r="L143" i="3"/>
  <c r="O175" i="3"/>
  <c r="D110" i="3"/>
  <c r="F142" i="3"/>
  <c r="N158" i="3"/>
  <c r="F190" i="3"/>
  <c r="M130" i="3"/>
  <c r="G146" i="3"/>
  <c r="P162" i="3"/>
  <c r="P65" i="17" s="1"/>
  <c r="N178" i="3"/>
  <c r="D17" i="19"/>
  <c r="I11" i="23" s="1"/>
  <c r="I21" i="23" s="1"/>
  <c r="I31" i="23" s="1"/>
  <c r="I41" i="23" s="1"/>
  <c r="I51" i="23" s="1"/>
  <c r="I61" i="23" s="1"/>
  <c r="I71" i="23" s="1"/>
  <c r="I81" i="23" s="1"/>
  <c r="I91" i="23" s="1"/>
  <c r="I101" i="23" s="1"/>
  <c r="I111" i="23" s="1"/>
  <c r="I121" i="23" s="1"/>
  <c r="I131" i="23" s="1"/>
  <c r="I141" i="23" s="1"/>
  <c r="I151" i="23" s="1"/>
  <c r="I161" i="23" s="1"/>
  <c r="I171" i="23" s="1"/>
  <c r="I181" i="23" s="1"/>
  <c r="I191" i="23" s="1"/>
  <c r="I201" i="23" s="1"/>
  <c r="I211" i="23" s="1"/>
  <c r="I221" i="23" s="1"/>
  <c r="I231" i="23" s="1"/>
  <c r="I241" i="23" s="1"/>
  <c r="I251" i="23" s="1"/>
  <c r="I261" i="23" s="1"/>
  <c r="I271" i="23" s="1"/>
  <c r="I281" i="23" s="1"/>
  <c r="I291" i="23" s="1"/>
  <c r="I301" i="23" s="1"/>
  <c r="I311" i="23" s="1"/>
  <c r="I321" i="23" s="1"/>
  <c r="I331" i="23" s="1"/>
  <c r="I341" i="23" s="1"/>
  <c r="I351" i="23" s="1"/>
  <c r="I361" i="23" s="1"/>
  <c r="I371" i="23" s="1"/>
  <c r="I381" i="23" s="1"/>
  <c r="I391" i="23" s="1"/>
  <c r="I401" i="23" s="1"/>
  <c r="I411" i="23" s="1"/>
  <c r="I421" i="23" s="1"/>
  <c r="I431" i="23" s="1"/>
  <c r="I441" i="23" s="1"/>
  <c r="I451" i="23" s="1"/>
  <c r="I461" i="23" s="1"/>
  <c r="I471" i="23" s="1"/>
  <c r="I481" i="23" s="1"/>
  <c r="I491" i="23" s="1"/>
  <c r="I501" i="23" s="1"/>
  <c r="I511" i="23" s="1"/>
  <c r="I521" i="23" s="1"/>
  <c r="I531" i="23" s="1"/>
  <c r="I541" i="23" s="1"/>
  <c r="I551" i="23" s="1"/>
  <c r="D114" i="3"/>
  <c r="O114" i="3"/>
  <c r="L130" i="3"/>
  <c r="H146" i="3"/>
  <c r="H49" i="17" s="1"/>
  <c r="D162" i="3"/>
  <c r="D178" i="3"/>
  <c r="O178" i="3"/>
  <c r="N112" i="3"/>
  <c r="O144" i="3"/>
  <c r="E192" i="3"/>
  <c r="O111" i="3"/>
  <c r="M143" i="3"/>
  <c r="H191" i="3"/>
  <c r="H94" i="17" s="1"/>
  <c r="M110" i="3"/>
  <c r="H142" i="3"/>
  <c r="H45" i="17" s="1"/>
  <c r="L158" i="3"/>
  <c r="F15" i="22"/>
  <c r="E128" i="3"/>
  <c r="P144" i="3"/>
  <c r="P47" i="17" s="1"/>
  <c r="N110" i="3"/>
  <c r="D142" i="3"/>
  <c r="F174" i="3"/>
  <c r="D176" i="3"/>
  <c r="F160" i="3"/>
  <c r="H144" i="3"/>
  <c r="H47" i="17" s="1"/>
  <c r="M128" i="3"/>
  <c r="D112" i="3"/>
  <c r="N176" i="3"/>
  <c r="P160" i="3"/>
  <c r="P63" i="17" s="1"/>
  <c r="E160" i="3"/>
  <c r="G144" i="3"/>
  <c r="L128" i="3"/>
  <c r="O112" i="3"/>
  <c r="H192" i="3"/>
  <c r="H95" i="17" s="1"/>
  <c r="M176" i="3"/>
  <c r="O160" i="3"/>
  <c r="D160" i="3"/>
  <c r="F144" i="3"/>
  <c r="H128" i="3"/>
  <c r="H31" i="17" s="1"/>
  <c r="M112" i="3"/>
  <c r="F16" i="22"/>
  <c r="D192" i="3"/>
  <c r="F176" i="3"/>
  <c r="H160" i="3"/>
  <c r="H63" i="17" s="1"/>
  <c r="M144" i="3"/>
  <c r="O128" i="3"/>
  <c r="D128" i="3"/>
  <c r="F112" i="3"/>
  <c r="D15" i="19"/>
  <c r="I9" i="23" s="1"/>
  <c r="I19" i="23" s="1"/>
  <c r="I29" i="23" s="1"/>
  <c r="I39" i="23" s="1"/>
  <c r="I49" i="23" s="1"/>
  <c r="I59" i="23" s="1"/>
  <c r="I69" i="23" s="1"/>
  <c r="I79" i="23" s="1"/>
  <c r="I89" i="23" s="1"/>
  <c r="I99" i="23" s="1"/>
  <c r="I109" i="23" s="1"/>
  <c r="I119" i="23" s="1"/>
  <c r="I129" i="23" s="1"/>
  <c r="I139" i="23" s="1"/>
  <c r="I149" i="23" s="1"/>
  <c r="I159" i="23" s="1"/>
  <c r="I169" i="23" s="1"/>
  <c r="I179" i="23" s="1"/>
  <c r="I189" i="23" s="1"/>
  <c r="I199" i="23" s="1"/>
  <c r="I209" i="23" s="1"/>
  <c r="I219" i="23" s="1"/>
  <c r="I229" i="23" s="1"/>
  <c r="I239" i="23" s="1"/>
  <c r="I249" i="23" s="1"/>
  <c r="I259" i="23" s="1"/>
  <c r="I269" i="23" s="1"/>
  <c r="I279" i="23" s="1"/>
  <c r="I289" i="23" s="1"/>
  <c r="I299" i="23" s="1"/>
  <c r="I309" i="23" s="1"/>
  <c r="I319" i="23" s="1"/>
  <c r="I329" i="23" s="1"/>
  <c r="I339" i="23" s="1"/>
  <c r="I349" i="23" s="1"/>
  <c r="I359" i="23" s="1"/>
  <c r="I369" i="23" s="1"/>
  <c r="I379" i="23" s="1"/>
  <c r="I389" i="23" s="1"/>
  <c r="I399" i="23" s="1"/>
  <c r="I409" i="23" s="1"/>
  <c r="I419" i="23" s="1"/>
  <c r="I429" i="23" s="1"/>
  <c r="I439" i="23" s="1"/>
  <c r="I449" i="23" s="1"/>
  <c r="I459" i="23" s="1"/>
  <c r="I469" i="23" s="1"/>
  <c r="I479" i="23" s="1"/>
  <c r="I489" i="23" s="1"/>
  <c r="I499" i="23" s="1"/>
  <c r="I509" i="23" s="1"/>
  <c r="I519" i="23" s="1"/>
  <c r="I529" i="23" s="1"/>
  <c r="I539" i="23" s="1"/>
  <c r="I549" i="23" s="1"/>
  <c r="P176" i="3"/>
  <c r="P79" i="17" s="1"/>
  <c r="E176" i="3"/>
  <c r="G160" i="3"/>
  <c r="N144" i="3"/>
  <c r="N128" i="3"/>
  <c r="P112" i="3"/>
  <c r="P15" i="17" s="1"/>
  <c r="E112" i="3"/>
  <c r="O176" i="3"/>
  <c r="L112" i="3"/>
  <c r="G127" i="3"/>
  <c r="H159" i="3"/>
  <c r="H62" i="17" s="1"/>
  <c r="G191" i="3"/>
  <c r="M111" i="3"/>
  <c r="P127" i="3"/>
  <c r="P30" i="17" s="1"/>
  <c r="F143" i="3"/>
  <c r="D159" i="3"/>
  <c r="O159" i="3"/>
  <c r="M175" i="3"/>
  <c r="O110" i="3"/>
  <c r="H126" i="3"/>
  <c r="H29" i="17" s="1"/>
  <c r="G142" i="3"/>
  <c r="L142" i="3"/>
  <c r="O158" i="3"/>
  <c r="N174" i="3"/>
  <c r="E190" i="3"/>
  <c r="H111" i="3"/>
  <c r="H14" i="17" s="1"/>
  <c r="N111" i="3"/>
  <c r="L127" i="3"/>
  <c r="G143" i="3"/>
  <c r="E159" i="3"/>
  <c r="H175" i="3"/>
  <c r="H78" i="17" s="1"/>
  <c r="N175" i="3"/>
  <c r="P110" i="3"/>
  <c r="P13" i="17" s="1"/>
  <c r="D126" i="3"/>
  <c r="E142" i="3"/>
  <c r="F158" i="3"/>
  <c r="P158" i="3"/>
  <c r="P61" i="17" s="1"/>
  <c r="O174" i="3"/>
  <c r="D190" i="3"/>
  <c r="D13" i="19"/>
  <c r="I7" i="23" s="1"/>
  <c r="I17" i="23" s="1"/>
  <c r="I27" i="23" s="1"/>
  <c r="I37" i="23" s="1"/>
  <c r="I47" i="23" s="1"/>
  <c r="I57" i="23" s="1"/>
  <c r="I67" i="23" s="1"/>
  <c r="I77" i="23" s="1"/>
  <c r="I87" i="23" s="1"/>
  <c r="I97" i="23" s="1"/>
  <c r="I107" i="23" s="1"/>
  <c r="I117" i="23" s="1"/>
  <c r="I127" i="23" s="1"/>
  <c r="I137" i="23" s="1"/>
  <c r="I147" i="23" s="1"/>
  <c r="I157" i="23" s="1"/>
  <c r="I167" i="23" s="1"/>
  <c r="I177" i="23" s="1"/>
  <c r="I187" i="23" s="1"/>
  <c r="I197" i="23" s="1"/>
  <c r="I207" i="23" s="1"/>
  <c r="I217" i="23" s="1"/>
  <c r="I227" i="23" s="1"/>
  <c r="I237" i="23" s="1"/>
  <c r="I247" i="23" s="1"/>
  <c r="I257" i="23" s="1"/>
  <c r="I267" i="23" s="1"/>
  <c r="I277" i="23" s="1"/>
  <c r="I287" i="23" s="1"/>
  <c r="I297" i="23" s="1"/>
  <c r="I307" i="23" s="1"/>
  <c r="I317" i="23" s="1"/>
  <c r="I327" i="23" s="1"/>
  <c r="I337" i="23" s="1"/>
  <c r="I347" i="23" s="1"/>
  <c r="I357" i="23" s="1"/>
  <c r="I367" i="23" s="1"/>
  <c r="I377" i="23" s="1"/>
  <c r="I387" i="23" s="1"/>
  <c r="I397" i="23" s="1"/>
  <c r="I407" i="23" s="1"/>
  <c r="I417" i="23" s="1"/>
  <c r="I427" i="23" s="1"/>
  <c r="I437" i="23" s="1"/>
  <c r="I447" i="23" s="1"/>
  <c r="I457" i="23" s="1"/>
  <c r="I467" i="23" s="1"/>
  <c r="I477" i="23" s="1"/>
  <c r="I487" i="23" s="1"/>
  <c r="I497" i="23" s="1"/>
  <c r="I507" i="23" s="1"/>
  <c r="I517" i="23" s="1"/>
  <c r="I527" i="23" s="1"/>
  <c r="I537" i="23" s="1"/>
  <c r="I547" i="23" s="1"/>
  <c r="G111" i="3"/>
  <c r="E127" i="3"/>
  <c r="H143" i="3"/>
  <c r="H46" i="17" s="1"/>
  <c r="N143" i="3"/>
  <c r="L159" i="3"/>
  <c r="G175" i="3"/>
  <c r="E191" i="3"/>
  <c r="G110" i="3"/>
  <c r="G126" i="3"/>
  <c r="P126" i="3"/>
  <c r="P29" i="17" s="1"/>
  <c r="O142" i="3"/>
  <c r="D158" i="3"/>
  <c r="H174" i="3"/>
  <c r="H77" i="17" s="1"/>
  <c r="H190" i="3"/>
  <c r="H93" i="17" s="1"/>
  <c r="P111" i="3"/>
  <c r="P14" i="17" s="1"/>
  <c r="F127" i="3"/>
  <c r="E143" i="3"/>
  <c r="O143" i="3"/>
  <c r="M159" i="3"/>
  <c r="P175" i="3"/>
  <c r="P78" i="17" s="1"/>
  <c r="F191" i="3"/>
  <c r="H110" i="3"/>
  <c r="H13" i="17" s="1"/>
  <c r="F126" i="3"/>
  <c r="L126" i="3"/>
  <c r="M142" i="3"/>
  <c r="M158" i="3"/>
  <c r="E174" i="3"/>
  <c r="G190" i="3"/>
  <c r="L111" i="3"/>
  <c r="D143" i="3"/>
  <c r="N159" i="3"/>
  <c r="AC18" i="2"/>
  <c r="AC35" i="2"/>
  <c r="L71" i="19"/>
  <c r="AC17" i="2"/>
  <c r="AC21" i="2"/>
  <c r="AC37" i="2"/>
  <c r="AC39" i="2"/>
  <c r="G71" i="19"/>
  <c r="AC23" i="2"/>
  <c r="AC38" i="2"/>
  <c r="N71" i="19"/>
  <c r="AC20" i="2"/>
  <c r="AC42" i="2"/>
  <c r="AD14" i="2"/>
  <c r="AC19" i="2"/>
  <c r="AC36" i="2"/>
  <c r="H71" i="19"/>
  <c r="A12" i="23"/>
  <c r="AC22" i="2"/>
  <c r="AC40" i="2"/>
  <c r="K71" i="19"/>
  <c r="F71" i="19"/>
  <c r="G21" i="9"/>
  <c r="G8" i="9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J71" i="19"/>
  <c r="H4" i="23"/>
  <c r="H13" i="23"/>
  <c r="H32" i="23"/>
  <c r="I113" i="3"/>
  <c r="Q161" i="3"/>
  <c r="P81" i="17"/>
  <c r="I145" i="3"/>
  <c r="Q113" i="3"/>
  <c r="Q177" i="3"/>
  <c r="Q145" i="3"/>
  <c r="I129" i="3"/>
  <c r="Q129" i="3"/>
  <c r="P17" i="17"/>
  <c r="H33" i="17"/>
  <c r="I161" i="3"/>
  <c r="I193" i="3"/>
  <c r="I177" i="3"/>
  <c r="H20" i="4" l="1"/>
  <c r="H65" i="4" s="1"/>
  <c r="H67" i="4" s="1"/>
  <c r="G45" i="17" s="1"/>
  <c r="I194" i="3"/>
  <c r="I178" i="3"/>
  <c r="Q178" i="3"/>
  <c r="I159" i="3"/>
  <c r="I146" i="3"/>
  <c r="I110" i="3"/>
  <c r="Q174" i="3"/>
  <c r="Q162" i="3"/>
  <c r="I162" i="3"/>
  <c r="Q130" i="3"/>
  <c r="Q146" i="3"/>
  <c r="I174" i="3"/>
  <c r="I175" i="3"/>
  <c r="Q158" i="3"/>
  <c r="I130" i="3"/>
  <c r="I127" i="3"/>
  <c r="Q110" i="3"/>
  <c r="I128" i="3"/>
  <c r="I114" i="3"/>
  <c r="I192" i="3"/>
  <c r="Q142" i="3"/>
  <c r="Q112" i="3"/>
  <c r="Q126" i="3"/>
  <c r="Q114" i="3"/>
  <c r="Q111" i="3"/>
  <c r="Q159" i="3"/>
  <c r="Q128" i="3"/>
  <c r="I144" i="3"/>
  <c r="Q175" i="3"/>
  <c r="Q176" i="3"/>
  <c r="I158" i="3"/>
  <c r="I126" i="3"/>
  <c r="I160" i="3"/>
  <c r="Q143" i="3"/>
  <c r="Q127" i="3"/>
  <c r="Q160" i="3"/>
  <c r="I190" i="3"/>
  <c r="I191" i="3"/>
  <c r="I176" i="3"/>
  <c r="I112" i="3"/>
  <c r="I111" i="3"/>
  <c r="I143" i="3"/>
  <c r="Q144" i="3"/>
  <c r="I142" i="3"/>
  <c r="AC45" i="2"/>
  <c r="AC27" i="2"/>
  <c r="AD34" i="2"/>
  <c r="AD42" i="2"/>
  <c r="AD21" i="2"/>
  <c r="AD24" i="2"/>
  <c r="AD25" i="2"/>
  <c r="AE14" i="2"/>
  <c r="AD43" i="2"/>
  <c r="AD18" i="2"/>
  <c r="AD39" i="2"/>
  <c r="AD40" i="2"/>
  <c r="AD22" i="2"/>
  <c r="AD41" i="2"/>
  <c r="AD19" i="2"/>
  <c r="AD35" i="2"/>
  <c r="AD23" i="2"/>
  <c r="AD37" i="2"/>
  <c r="AD38" i="2"/>
  <c r="AD16" i="2"/>
  <c r="AD36" i="2"/>
  <c r="AD17" i="2"/>
  <c r="AD20" i="2"/>
  <c r="A32" i="23"/>
  <c r="H42" i="23"/>
  <c r="H23" i="23"/>
  <c r="A13" i="23"/>
  <c r="H5" i="23"/>
  <c r="H14" i="23"/>
  <c r="A4" i="23"/>
  <c r="D41" i="19" l="1"/>
  <c r="M82" i="23" s="1"/>
  <c r="M83" i="23" s="1"/>
  <c r="M84" i="23" s="1"/>
  <c r="M85" i="23" s="1"/>
  <c r="M86" i="23" s="1"/>
  <c r="M87" i="23" s="1"/>
  <c r="M88" i="23" s="1"/>
  <c r="M89" i="23" s="1"/>
  <c r="M90" i="23" s="1"/>
  <c r="M91" i="23" s="1"/>
  <c r="O46" i="17"/>
  <c r="G13" i="17"/>
  <c r="O13" i="17"/>
  <c r="G94" i="17"/>
  <c r="G15" i="17"/>
  <c r="O63" i="17"/>
  <c r="O15" i="17"/>
  <c r="G81" i="17"/>
  <c r="O17" i="17"/>
  <c r="G46" i="17"/>
  <c r="G14" i="17"/>
  <c r="G47" i="17"/>
  <c r="O14" i="17"/>
  <c r="O79" i="17"/>
  <c r="G30" i="17"/>
  <c r="O49" i="17"/>
  <c r="G17" i="17"/>
  <c r="O29" i="17"/>
  <c r="O78" i="17"/>
  <c r="O65" i="17"/>
  <c r="G31" i="17"/>
  <c r="G49" i="17"/>
  <c r="O81" i="17"/>
  <c r="O61" i="17"/>
  <c r="O62" i="17"/>
  <c r="G63" i="17"/>
  <c r="G93" i="17"/>
  <c r="O77" i="17"/>
  <c r="O31" i="17"/>
  <c r="G78" i="17"/>
  <c r="O47" i="17"/>
  <c r="G29" i="17"/>
  <c r="O45" i="17"/>
  <c r="G65" i="17"/>
  <c r="G96" i="17"/>
  <c r="G97" i="17"/>
  <c r="O48" i="17"/>
  <c r="O33" i="17"/>
  <c r="O80" i="17"/>
  <c r="O16" i="17"/>
  <c r="O32" i="17"/>
  <c r="G48" i="17"/>
  <c r="G80" i="17"/>
  <c r="O64" i="17"/>
  <c r="G95" i="17"/>
  <c r="G61" i="17"/>
  <c r="G79" i="17"/>
  <c r="G64" i="17"/>
  <c r="G16" i="17"/>
  <c r="O30" i="17"/>
  <c r="G62" i="17"/>
  <c r="G77" i="17"/>
  <c r="G32" i="17"/>
  <c r="G33" i="17"/>
  <c r="I86" i="2"/>
  <c r="D137" i="3" s="1"/>
  <c r="AE34" i="2"/>
  <c r="AE42" i="2"/>
  <c r="AE22" i="2"/>
  <c r="AE43" i="2"/>
  <c r="AE23" i="2"/>
  <c r="AE35" i="2"/>
  <c r="AE16" i="2"/>
  <c r="AE24" i="2"/>
  <c r="AE37" i="2"/>
  <c r="AE17" i="2"/>
  <c r="AE25" i="2"/>
  <c r="AE38" i="2"/>
  <c r="AE18" i="2"/>
  <c r="AF14" i="2"/>
  <c r="AE21" i="2"/>
  <c r="AE39" i="2"/>
  <c r="AE19" i="2"/>
  <c r="AE40" i="2"/>
  <c r="AE20" i="2"/>
  <c r="AE41" i="2"/>
  <c r="AE36" i="2"/>
  <c r="AD27" i="2"/>
  <c r="AD45" i="2"/>
  <c r="A23" i="23"/>
  <c r="H33" i="23"/>
  <c r="H52" i="23"/>
  <c r="A42" i="23"/>
  <c r="H24" i="23"/>
  <c r="A14" i="23"/>
  <c r="H15" i="23"/>
  <c r="H6" i="23"/>
  <c r="A5" i="23"/>
  <c r="M482" i="23" l="1"/>
  <c r="M483" i="23" s="1"/>
  <c r="M484" i="23" s="1"/>
  <c r="M485" i="23" s="1"/>
  <c r="M486" i="23" s="1"/>
  <c r="M487" i="23" s="1"/>
  <c r="M488" i="23" s="1"/>
  <c r="M489" i="23" s="1"/>
  <c r="M490" i="23" s="1"/>
  <c r="M491" i="23" s="1"/>
  <c r="M32" i="23"/>
  <c r="M33" i="23" s="1"/>
  <c r="M34" i="23" s="1"/>
  <c r="M35" i="23" s="1"/>
  <c r="M36" i="23" s="1"/>
  <c r="M37" i="23" s="1"/>
  <c r="M38" i="23" s="1"/>
  <c r="M39" i="23" s="1"/>
  <c r="M40" i="23" s="1"/>
  <c r="M41" i="23" s="1"/>
  <c r="M282" i="23"/>
  <c r="M283" i="23" s="1"/>
  <c r="M284" i="23" s="1"/>
  <c r="M285" i="23" s="1"/>
  <c r="M286" i="23" s="1"/>
  <c r="M287" i="23" s="1"/>
  <c r="M288" i="23" s="1"/>
  <c r="M289" i="23" s="1"/>
  <c r="M290" i="23" s="1"/>
  <c r="M291" i="23" s="1"/>
  <c r="M132" i="23"/>
  <c r="M133" i="23" s="1"/>
  <c r="M134" i="23" s="1"/>
  <c r="M135" i="23" s="1"/>
  <c r="M136" i="23" s="1"/>
  <c r="M137" i="23" s="1"/>
  <c r="M138" i="23" s="1"/>
  <c r="M139" i="23" s="1"/>
  <c r="M140" i="23" s="1"/>
  <c r="M141" i="23" s="1"/>
  <c r="M532" i="23"/>
  <c r="M533" i="23" s="1"/>
  <c r="M534" i="23" s="1"/>
  <c r="M535" i="23" s="1"/>
  <c r="M536" i="23" s="1"/>
  <c r="M537" i="23" s="1"/>
  <c r="M538" i="23" s="1"/>
  <c r="M539" i="23" s="1"/>
  <c r="M540" i="23" s="1"/>
  <c r="M541" i="23" s="1"/>
  <c r="M332" i="23"/>
  <c r="M333" i="23" s="1"/>
  <c r="M334" i="23" s="1"/>
  <c r="M335" i="23" s="1"/>
  <c r="M336" i="23" s="1"/>
  <c r="M337" i="23" s="1"/>
  <c r="M338" i="23" s="1"/>
  <c r="M339" i="23" s="1"/>
  <c r="M340" i="23" s="1"/>
  <c r="M341" i="23" s="1"/>
  <c r="M382" i="23"/>
  <c r="M383" i="23" s="1"/>
  <c r="M384" i="23" s="1"/>
  <c r="M385" i="23" s="1"/>
  <c r="M386" i="23" s="1"/>
  <c r="M387" i="23" s="1"/>
  <c r="M388" i="23" s="1"/>
  <c r="M389" i="23" s="1"/>
  <c r="M390" i="23" s="1"/>
  <c r="M391" i="23" s="1"/>
  <c r="M182" i="23"/>
  <c r="M183" i="23" s="1"/>
  <c r="M184" i="23" s="1"/>
  <c r="M185" i="23" s="1"/>
  <c r="M186" i="23" s="1"/>
  <c r="M187" i="23" s="1"/>
  <c r="M188" i="23" s="1"/>
  <c r="M189" i="23" s="1"/>
  <c r="M190" i="23" s="1"/>
  <c r="M191" i="23" s="1"/>
  <c r="M432" i="23"/>
  <c r="M433" i="23" s="1"/>
  <c r="M434" i="23" s="1"/>
  <c r="M435" i="23" s="1"/>
  <c r="M436" i="23" s="1"/>
  <c r="M437" i="23" s="1"/>
  <c r="M438" i="23" s="1"/>
  <c r="M439" i="23" s="1"/>
  <c r="M440" i="23" s="1"/>
  <c r="M441" i="23" s="1"/>
  <c r="M232" i="23"/>
  <c r="M233" i="23" s="1"/>
  <c r="M234" i="23" s="1"/>
  <c r="M235" i="23" s="1"/>
  <c r="M236" i="23" s="1"/>
  <c r="M237" i="23" s="1"/>
  <c r="M238" i="23" s="1"/>
  <c r="M239" i="23" s="1"/>
  <c r="M240" i="23" s="1"/>
  <c r="M241" i="23" s="1"/>
  <c r="G153" i="3"/>
  <c r="G56" i="17" s="1"/>
  <c r="L137" i="3"/>
  <c r="O137" i="3"/>
  <c r="O40" i="17" s="1"/>
  <c r="H121" i="3"/>
  <c r="H24" i="17" s="1"/>
  <c r="D185" i="3"/>
  <c r="N121" i="3"/>
  <c r="N153" i="3"/>
  <c r="F9" i="22"/>
  <c r="F121" i="3"/>
  <c r="G105" i="3"/>
  <c r="G8" i="17" s="1"/>
  <c r="L121" i="3"/>
  <c r="P105" i="3"/>
  <c r="P8" i="17" s="1"/>
  <c r="M105" i="3"/>
  <c r="L105" i="3"/>
  <c r="F185" i="3"/>
  <c r="H185" i="3"/>
  <c r="H88" i="17" s="1"/>
  <c r="E105" i="3"/>
  <c r="O153" i="3"/>
  <c r="O56" i="17" s="1"/>
  <c r="E185" i="3"/>
  <c r="P169" i="3"/>
  <c r="P72" i="17" s="1"/>
  <c r="H153" i="3"/>
  <c r="H56" i="17" s="1"/>
  <c r="L153" i="3"/>
  <c r="D169" i="3"/>
  <c r="O105" i="3"/>
  <c r="O8" i="17" s="1"/>
  <c r="F137" i="3"/>
  <c r="E153" i="3"/>
  <c r="P121" i="3"/>
  <c r="P24" i="17" s="1"/>
  <c r="H105" i="3"/>
  <c r="H8" i="17" s="1"/>
  <c r="N137" i="3"/>
  <c r="F105" i="3"/>
  <c r="P153" i="3"/>
  <c r="P56" i="17" s="1"/>
  <c r="G137" i="3"/>
  <c r="G40" i="17" s="1"/>
  <c r="H169" i="3"/>
  <c r="H72" i="17" s="1"/>
  <c r="E137" i="3"/>
  <c r="P137" i="3"/>
  <c r="P40" i="17" s="1"/>
  <c r="E121" i="3"/>
  <c r="D105" i="3"/>
  <c r="N169" i="3"/>
  <c r="M153" i="3"/>
  <c r="O169" i="3"/>
  <c r="O72" i="17" s="1"/>
  <c r="E169" i="3"/>
  <c r="M169" i="3"/>
  <c r="D8" i="19"/>
  <c r="I2" i="23" s="1"/>
  <c r="I12" i="23" s="1"/>
  <c r="I22" i="23" s="1"/>
  <c r="I32" i="23" s="1"/>
  <c r="I42" i="23" s="1"/>
  <c r="I52" i="23" s="1"/>
  <c r="I62" i="23" s="1"/>
  <c r="I72" i="23" s="1"/>
  <c r="I82" i="23" s="1"/>
  <c r="I92" i="23" s="1"/>
  <c r="I102" i="23" s="1"/>
  <c r="I112" i="23" s="1"/>
  <c r="I122" i="23" s="1"/>
  <c r="I132" i="23" s="1"/>
  <c r="I142" i="23" s="1"/>
  <c r="I152" i="23" s="1"/>
  <c r="I162" i="23" s="1"/>
  <c r="I172" i="23" s="1"/>
  <c r="I182" i="23" s="1"/>
  <c r="I192" i="23" s="1"/>
  <c r="I202" i="23" s="1"/>
  <c r="I212" i="23" s="1"/>
  <c r="I222" i="23" s="1"/>
  <c r="I232" i="23" s="1"/>
  <c r="I242" i="23" s="1"/>
  <c r="I252" i="23" s="1"/>
  <c r="I262" i="23" s="1"/>
  <c r="I272" i="23" s="1"/>
  <c r="I282" i="23" s="1"/>
  <c r="I292" i="23" s="1"/>
  <c r="I302" i="23" s="1"/>
  <c r="I312" i="23" s="1"/>
  <c r="I322" i="23" s="1"/>
  <c r="I332" i="23" s="1"/>
  <c r="I342" i="23" s="1"/>
  <c r="I352" i="23" s="1"/>
  <c r="I362" i="23" s="1"/>
  <c r="I372" i="23" s="1"/>
  <c r="I382" i="23" s="1"/>
  <c r="I392" i="23" s="1"/>
  <c r="I402" i="23" s="1"/>
  <c r="I412" i="23" s="1"/>
  <c r="I422" i="23" s="1"/>
  <c r="I432" i="23" s="1"/>
  <c r="I442" i="23" s="1"/>
  <c r="I452" i="23" s="1"/>
  <c r="I462" i="23" s="1"/>
  <c r="I472" i="23" s="1"/>
  <c r="I482" i="23" s="1"/>
  <c r="I492" i="23" s="1"/>
  <c r="I502" i="23" s="1"/>
  <c r="I512" i="23" s="1"/>
  <c r="I522" i="23" s="1"/>
  <c r="I532" i="23" s="1"/>
  <c r="I542" i="23" s="1"/>
  <c r="F153" i="3"/>
  <c r="F169" i="3"/>
  <c r="L169" i="3"/>
  <c r="G121" i="3"/>
  <c r="G24" i="17" s="1"/>
  <c r="M121" i="3"/>
  <c r="G185" i="3"/>
  <c r="G88" i="17" s="1"/>
  <c r="G169" i="3"/>
  <c r="G72" i="17" s="1"/>
  <c r="M137" i="3"/>
  <c r="H137" i="3"/>
  <c r="H40" i="17" s="1"/>
  <c r="O121" i="3"/>
  <c r="O24" i="17" s="1"/>
  <c r="N105" i="3"/>
  <c r="D153" i="3"/>
  <c r="D121" i="3"/>
  <c r="AE27" i="2"/>
  <c r="AF43" i="2"/>
  <c r="AF35" i="2"/>
  <c r="AF40" i="2"/>
  <c r="AF39" i="2"/>
  <c r="AF23" i="2"/>
  <c r="AF34" i="2"/>
  <c r="AF16" i="2"/>
  <c r="AF17" i="2"/>
  <c r="AF25" i="2"/>
  <c r="AG14" i="2"/>
  <c r="AF18" i="2"/>
  <c r="AF38" i="2"/>
  <c r="AF21" i="2"/>
  <c r="AF42" i="2"/>
  <c r="AF36" i="2"/>
  <c r="AF37" i="2"/>
  <c r="AF24" i="2"/>
  <c r="AF20" i="2"/>
  <c r="AF19" i="2"/>
  <c r="AF41" i="2"/>
  <c r="AF22" i="2"/>
  <c r="AE45" i="2"/>
  <c r="I87" i="2"/>
  <c r="A24" i="23"/>
  <c r="H34" i="23"/>
  <c r="H7" i="23"/>
  <c r="A6" i="23"/>
  <c r="H16" i="23"/>
  <c r="A15" i="23"/>
  <c r="H25" i="23"/>
  <c r="H43" i="23"/>
  <c r="A33" i="23"/>
  <c r="H62" i="23"/>
  <c r="A52" i="23"/>
  <c r="Q153" i="3" l="1"/>
  <c r="I153" i="3"/>
  <c r="Q169" i="3"/>
  <c r="I105" i="3"/>
  <c r="Q137" i="3"/>
  <c r="I169" i="3"/>
  <c r="I185" i="3"/>
  <c r="I121" i="3"/>
  <c r="I137" i="3"/>
  <c r="Q121" i="3"/>
  <c r="I88" i="2"/>
  <c r="D123" i="3" s="1"/>
  <c r="Q105" i="3"/>
  <c r="AF45" i="2"/>
  <c r="AG23" i="2"/>
  <c r="AG22" i="2"/>
  <c r="AH14" i="2"/>
  <c r="AG38" i="2"/>
  <c r="AG24" i="2"/>
  <c r="AG42" i="2"/>
  <c r="AG21" i="2"/>
  <c r="AG37" i="2"/>
  <c r="AG36" i="2"/>
  <c r="AG18" i="2"/>
  <c r="AG34" i="2"/>
  <c r="AG19" i="2"/>
  <c r="AG39" i="2"/>
  <c r="AG20" i="2"/>
  <c r="AG25" i="2"/>
  <c r="AG16" i="2"/>
  <c r="AG43" i="2"/>
  <c r="AG41" i="2"/>
  <c r="AG40" i="2"/>
  <c r="AG35" i="2"/>
  <c r="AG17" i="2"/>
  <c r="F122" i="3"/>
  <c r="F186" i="3"/>
  <c r="F154" i="3"/>
  <c r="P154" i="3"/>
  <c r="E106" i="3"/>
  <c r="H170" i="3"/>
  <c r="H106" i="3"/>
  <c r="D186" i="3"/>
  <c r="M138" i="3"/>
  <c r="H186" i="3"/>
  <c r="H122" i="3"/>
  <c r="L138" i="3"/>
  <c r="F10" i="22"/>
  <c r="M106" i="3"/>
  <c r="M154" i="3"/>
  <c r="N154" i="3"/>
  <c r="D122" i="3"/>
  <c r="G154" i="3"/>
  <c r="N138" i="3"/>
  <c r="G170" i="3"/>
  <c r="G186" i="3"/>
  <c r="E122" i="3"/>
  <c r="F170" i="3"/>
  <c r="N106" i="3"/>
  <c r="N122" i="3"/>
  <c r="O154" i="3"/>
  <c r="D154" i="3"/>
  <c r="F138" i="3"/>
  <c r="L170" i="3"/>
  <c r="L106" i="3"/>
  <c r="O106" i="3"/>
  <c r="O170" i="3"/>
  <c r="O138" i="3"/>
  <c r="M170" i="3"/>
  <c r="D170" i="3"/>
  <c r="N170" i="3"/>
  <c r="E154" i="3"/>
  <c r="D9" i="19"/>
  <c r="D106" i="3"/>
  <c r="E186" i="3"/>
  <c r="H138" i="3"/>
  <c r="L122" i="3"/>
  <c r="H154" i="3"/>
  <c r="E170" i="3"/>
  <c r="G106" i="3"/>
  <c r="P106" i="3"/>
  <c r="G122" i="3"/>
  <c r="P122" i="3"/>
  <c r="G138" i="3"/>
  <c r="E138" i="3"/>
  <c r="L154" i="3"/>
  <c r="F106" i="3"/>
  <c r="P138" i="3"/>
  <c r="M122" i="3"/>
  <c r="O122" i="3"/>
  <c r="P170" i="3"/>
  <c r="D138" i="3"/>
  <c r="AF27" i="2"/>
  <c r="H26" i="23"/>
  <c r="A16" i="23"/>
  <c r="A62" i="23"/>
  <c r="H72" i="23"/>
  <c r="A7" i="23"/>
  <c r="H8" i="23"/>
  <c r="H17" i="23"/>
  <c r="H53" i="23"/>
  <c r="A43" i="23"/>
  <c r="H35" i="23"/>
  <c r="A25" i="23"/>
  <c r="A34" i="23"/>
  <c r="H44" i="23"/>
  <c r="H123" i="3" l="1"/>
  <c r="H26" i="17" s="1"/>
  <c r="L171" i="3"/>
  <c r="G187" i="3"/>
  <c r="G90" i="17" s="1"/>
  <c r="G155" i="3"/>
  <c r="G58" i="17" s="1"/>
  <c r="N155" i="3"/>
  <c r="N171" i="3"/>
  <c r="D171" i="3"/>
  <c r="M139" i="3"/>
  <c r="F187" i="3"/>
  <c r="O155" i="3"/>
  <c r="O58" i="17" s="1"/>
  <c r="P171" i="3"/>
  <c r="P74" i="17" s="1"/>
  <c r="M155" i="3"/>
  <c r="P107" i="3"/>
  <c r="P10" i="17" s="1"/>
  <c r="L123" i="3"/>
  <c r="O107" i="3"/>
  <c r="O10" i="17" s="1"/>
  <c r="E139" i="3"/>
  <c r="P155" i="3"/>
  <c r="P58" i="17" s="1"/>
  <c r="D155" i="3"/>
  <c r="G171" i="3"/>
  <c r="G74" i="17" s="1"/>
  <c r="P139" i="3"/>
  <c r="P42" i="17" s="1"/>
  <c r="O139" i="3"/>
  <c r="O42" i="17" s="1"/>
  <c r="F11" i="22"/>
  <c r="H187" i="3"/>
  <c r="H90" i="17" s="1"/>
  <c r="O123" i="3"/>
  <c r="O26" i="17" s="1"/>
  <c r="G139" i="3"/>
  <c r="G42" i="17" s="1"/>
  <c r="F107" i="3"/>
  <c r="H171" i="3"/>
  <c r="H74" i="17" s="1"/>
  <c r="F155" i="3"/>
  <c r="G107" i="3"/>
  <c r="G10" i="17" s="1"/>
  <c r="M107" i="3"/>
  <c r="N139" i="3"/>
  <c r="D139" i="3"/>
  <c r="L139" i="3"/>
  <c r="H139" i="3"/>
  <c r="H42" i="17" s="1"/>
  <c r="D10" i="19"/>
  <c r="I4" i="23" s="1"/>
  <c r="I14" i="23" s="1"/>
  <c r="I24" i="23" s="1"/>
  <c r="I34" i="23" s="1"/>
  <c r="I44" i="23" s="1"/>
  <c r="I54" i="23" s="1"/>
  <c r="I64" i="23" s="1"/>
  <c r="I74" i="23" s="1"/>
  <c r="I84" i="23" s="1"/>
  <c r="I94" i="23" s="1"/>
  <c r="I104" i="23" s="1"/>
  <c r="I114" i="23" s="1"/>
  <c r="I124" i="23" s="1"/>
  <c r="I134" i="23" s="1"/>
  <c r="I144" i="23" s="1"/>
  <c r="I154" i="23" s="1"/>
  <c r="I164" i="23" s="1"/>
  <c r="I174" i="23" s="1"/>
  <c r="I184" i="23" s="1"/>
  <c r="I194" i="23" s="1"/>
  <c r="I204" i="23" s="1"/>
  <c r="I214" i="23" s="1"/>
  <c r="I224" i="23" s="1"/>
  <c r="I234" i="23" s="1"/>
  <c r="I244" i="23" s="1"/>
  <c r="I254" i="23" s="1"/>
  <c r="I264" i="23" s="1"/>
  <c r="I274" i="23" s="1"/>
  <c r="I284" i="23" s="1"/>
  <c r="I294" i="23" s="1"/>
  <c r="I304" i="23" s="1"/>
  <c r="I314" i="23" s="1"/>
  <c r="I324" i="23" s="1"/>
  <c r="I334" i="23" s="1"/>
  <c r="I344" i="23" s="1"/>
  <c r="I354" i="23" s="1"/>
  <c r="I364" i="23" s="1"/>
  <c r="I374" i="23" s="1"/>
  <c r="I384" i="23" s="1"/>
  <c r="I394" i="23" s="1"/>
  <c r="I404" i="23" s="1"/>
  <c r="I414" i="23" s="1"/>
  <c r="I424" i="23" s="1"/>
  <c r="I434" i="23" s="1"/>
  <c r="I444" i="23" s="1"/>
  <c r="I454" i="23" s="1"/>
  <c r="I464" i="23" s="1"/>
  <c r="I474" i="23" s="1"/>
  <c r="I484" i="23" s="1"/>
  <c r="I494" i="23" s="1"/>
  <c r="I504" i="23" s="1"/>
  <c r="I514" i="23" s="1"/>
  <c r="I524" i="23" s="1"/>
  <c r="I534" i="23" s="1"/>
  <c r="I544" i="23" s="1"/>
  <c r="F139" i="3"/>
  <c r="F123" i="3"/>
  <c r="N123" i="3"/>
  <c r="F171" i="3"/>
  <c r="M171" i="3"/>
  <c r="M123" i="3"/>
  <c r="L107" i="3"/>
  <c r="E155" i="3"/>
  <c r="D107" i="3"/>
  <c r="L155" i="3"/>
  <c r="D187" i="3"/>
  <c r="E107" i="3"/>
  <c r="P123" i="3"/>
  <c r="P26" i="17" s="1"/>
  <c r="E123" i="3"/>
  <c r="E187" i="3"/>
  <c r="H155" i="3"/>
  <c r="H58" i="17" s="1"/>
  <c r="G123" i="3"/>
  <c r="G26" i="17" s="1"/>
  <c r="N107" i="3"/>
  <c r="H107" i="3"/>
  <c r="H10" i="17" s="1"/>
  <c r="O171" i="3"/>
  <c r="O74" i="17" s="1"/>
  <c r="E171" i="3"/>
  <c r="Q122" i="3"/>
  <c r="O57" i="17"/>
  <c r="G57" i="17"/>
  <c r="H89" i="17"/>
  <c r="P73" i="17"/>
  <c r="P25" i="17"/>
  <c r="O73" i="17"/>
  <c r="I186" i="3"/>
  <c r="O25" i="17"/>
  <c r="G25" i="17"/>
  <c r="I106" i="3"/>
  <c r="O9" i="17"/>
  <c r="H9" i="17"/>
  <c r="AG45" i="2"/>
  <c r="G41" i="17"/>
  <c r="O41" i="17"/>
  <c r="P9" i="17"/>
  <c r="I3" i="23"/>
  <c r="I13" i="23" s="1"/>
  <c r="I23" i="23" s="1"/>
  <c r="I33" i="23" s="1"/>
  <c r="I43" i="23" s="1"/>
  <c r="I53" i="23" s="1"/>
  <c r="I63" i="23" s="1"/>
  <c r="I73" i="23" s="1"/>
  <c r="I83" i="23" s="1"/>
  <c r="I93" i="23" s="1"/>
  <c r="I103" i="23" s="1"/>
  <c r="I113" i="23" s="1"/>
  <c r="I123" i="23" s="1"/>
  <c r="I133" i="23" s="1"/>
  <c r="I143" i="23" s="1"/>
  <c r="I153" i="23" s="1"/>
  <c r="I163" i="23" s="1"/>
  <c r="I173" i="23" s="1"/>
  <c r="I183" i="23" s="1"/>
  <c r="I193" i="23" s="1"/>
  <c r="I203" i="23" s="1"/>
  <c r="I213" i="23" s="1"/>
  <c r="I223" i="23" s="1"/>
  <c r="I233" i="23" s="1"/>
  <c r="I243" i="23" s="1"/>
  <c r="I253" i="23" s="1"/>
  <c r="I263" i="23" s="1"/>
  <c r="I273" i="23" s="1"/>
  <c r="I283" i="23" s="1"/>
  <c r="I293" i="23" s="1"/>
  <c r="I303" i="23" s="1"/>
  <c r="I313" i="23" s="1"/>
  <c r="I323" i="23" s="1"/>
  <c r="I333" i="23" s="1"/>
  <c r="I343" i="23" s="1"/>
  <c r="I353" i="23" s="1"/>
  <c r="I363" i="23" s="1"/>
  <c r="I373" i="23" s="1"/>
  <c r="I383" i="23" s="1"/>
  <c r="I393" i="23" s="1"/>
  <c r="I403" i="23" s="1"/>
  <c r="I413" i="23" s="1"/>
  <c r="I423" i="23" s="1"/>
  <c r="I433" i="23" s="1"/>
  <c r="I443" i="23" s="1"/>
  <c r="I453" i="23" s="1"/>
  <c r="I463" i="23" s="1"/>
  <c r="I473" i="23" s="1"/>
  <c r="I483" i="23" s="1"/>
  <c r="I493" i="23" s="1"/>
  <c r="I503" i="23" s="1"/>
  <c r="I513" i="23" s="1"/>
  <c r="I523" i="23" s="1"/>
  <c r="I533" i="23" s="1"/>
  <c r="I543" i="23" s="1"/>
  <c r="Q106" i="3"/>
  <c r="H73" i="17"/>
  <c r="AH35" i="2"/>
  <c r="AH22" i="2"/>
  <c r="AH39" i="2"/>
  <c r="AH19" i="2"/>
  <c r="AH34" i="2"/>
  <c r="AH16" i="2"/>
  <c r="AH36" i="2"/>
  <c r="AI14" i="2"/>
  <c r="AH40" i="2"/>
  <c r="AH41" i="2"/>
  <c r="AH42" i="2"/>
  <c r="AH25" i="2"/>
  <c r="AH43" i="2"/>
  <c r="AH18" i="2"/>
  <c r="AH24" i="2"/>
  <c r="AH20" i="2"/>
  <c r="AH21" i="2"/>
  <c r="AH23" i="2"/>
  <c r="AH38" i="2"/>
  <c r="AH17" i="2"/>
  <c r="AH37" i="2"/>
  <c r="P41" i="17"/>
  <c r="G9" i="17"/>
  <c r="Q170" i="3"/>
  <c r="G89" i="17"/>
  <c r="G73" i="17"/>
  <c r="Q138" i="3"/>
  <c r="P57" i="17"/>
  <c r="I138" i="3"/>
  <c r="H41" i="17"/>
  <c r="I122" i="3"/>
  <c r="Q154" i="3"/>
  <c r="H57" i="17"/>
  <c r="I170" i="3"/>
  <c r="I154" i="3"/>
  <c r="H25" i="17"/>
  <c r="AG27" i="2"/>
  <c r="AM28" i="2" s="1"/>
  <c r="I89" i="2"/>
  <c r="A53" i="23"/>
  <c r="H63" i="23"/>
  <c r="H27" i="23"/>
  <c r="A17" i="23"/>
  <c r="H9" i="23"/>
  <c r="H18" i="23"/>
  <c r="A8" i="23"/>
  <c r="H54" i="23"/>
  <c r="A44" i="23"/>
  <c r="H82" i="23"/>
  <c r="A72" i="23"/>
  <c r="A35" i="23"/>
  <c r="H45" i="23"/>
  <c r="A26" i="23"/>
  <c r="H36" i="23"/>
  <c r="I155" i="3" l="1"/>
  <c r="Q155" i="3"/>
  <c r="I139" i="3"/>
  <c r="Q123" i="3"/>
  <c r="Q139" i="3"/>
  <c r="I187" i="3"/>
  <c r="I107" i="3"/>
  <c r="Q171" i="3"/>
  <c r="I123" i="3"/>
  <c r="Q107" i="3"/>
  <c r="I171" i="3"/>
  <c r="I90" i="2"/>
  <c r="I96" i="2" s="1"/>
  <c r="AI41" i="2"/>
  <c r="AI24" i="2"/>
  <c r="AI25" i="2"/>
  <c r="AI19" i="2"/>
  <c r="AJ14" i="2"/>
  <c r="AI38" i="2"/>
  <c r="AI34" i="2"/>
  <c r="AI43" i="2"/>
  <c r="AI16" i="2"/>
  <c r="AI18" i="2"/>
  <c r="AI36" i="2"/>
  <c r="AI23" i="2"/>
  <c r="AI35" i="2"/>
  <c r="AI17" i="2"/>
  <c r="AI20" i="2"/>
  <c r="AI39" i="2"/>
  <c r="AI37" i="2"/>
  <c r="AI22" i="2"/>
  <c r="AI40" i="2"/>
  <c r="AI42" i="2"/>
  <c r="AI21" i="2"/>
  <c r="AH27" i="2"/>
  <c r="AH45" i="2"/>
  <c r="O156" i="3"/>
  <c r="N172" i="3"/>
  <c r="F172" i="3"/>
  <c r="G124" i="3"/>
  <c r="H172" i="3"/>
  <c r="G156" i="3"/>
  <c r="P124" i="3"/>
  <c r="F188" i="3"/>
  <c r="H124" i="3"/>
  <c r="O124" i="3"/>
  <c r="N140" i="3"/>
  <c r="P108" i="3"/>
  <c r="D156" i="3"/>
  <c r="G188" i="3"/>
  <c r="L108" i="3"/>
  <c r="E140" i="3"/>
  <c r="H188" i="3"/>
  <c r="D172" i="3"/>
  <c r="L172" i="3"/>
  <c r="G140" i="3"/>
  <c r="F108" i="3"/>
  <c r="E188" i="3"/>
  <c r="G172" i="3"/>
  <c r="D108" i="3"/>
  <c r="M140" i="3"/>
  <c r="E108" i="3"/>
  <c r="F12" i="22"/>
  <c r="M124" i="3"/>
  <c r="N108" i="3"/>
  <c r="E124" i="3"/>
  <c r="D124" i="3"/>
  <c r="E172" i="3"/>
  <c r="M156" i="3"/>
  <c r="H108" i="3"/>
  <c r="P156" i="3"/>
  <c r="L156" i="3"/>
  <c r="O108" i="3"/>
  <c r="D140" i="3"/>
  <c r="H156" i="3"/>
  <c r="O140" i="3"/>
  <c r="M172" i="3"/>
  <c r="D188" i="3"/>
  <c r="N124" i="3"/>
  <c r="F156" i="3"/>
  <c r="L140" i="3"/>
  <c r="H140" i="3"/>
  <c r="O172" i="3"/>
  <c r="M108" i="3"/>
  <c r="L124" i="3"/>
  <c r="G108" i="3"/>
  <c r="E156" i="3"/>
  <c r="P140" i="3"/>
  <c r="P172" i="3"/>
  <c r="D11" i="19"/>
  <c r="F124" i="3"/>
  <c r="F140" i="3"/>
  <c r="N156" i="3"/>
  <c r="A54" i="23"/>
  <c r="H64" i="23"/>
  <c r="H46" i="23"/>
  <c r="A36" i="23"/>
  <c r="A18" i="23"/>
  <c r="H28" i="23"/>
  <c r="H55" i="23"/>
  <c r="A45" i="23"/>
  <c r="H19" i="23"/>
  <c r="A9" i="23"/>
  <c r="H10" i="23"/>
  <c r="A27" i="23"/>
  <c r="H37" i="23"/>
  <c r="H92" i="23"/>
  <c r="A82" i="23"/>
  <c r="H73" i="23"/>
  <c r="A63" i="23"/>
  <c r="H125" i="3" l="1"/>
  <c r="H28" i="17" s="1"/>
  <c r="H189" i="3"/>
  <c r="H92" i="17" s="1"/>
  <c r="N157" i="3"/>
  <c r="M125" i="3"/>
  <c r="O141" i="3"/>
  <c r="O44" i="17" s="1"/>
  <c r="G109" i="3"/>
  <c r="G12" i="17" s="1"/>
  <c r="D12" i="19"/>
  <c r="I6" i="23" s="1"/>
  <c r="I16" i="23" s="1"/>
  <c r="I26" i="23" s="1"/>
  <c r="I36" i="23" s="1"/>
  <c r="I46" i="23" s="1"/>
  <c r="I56" i="23" s="1"/>
  <c r="I66" i="23" s="1"/>
  <c r="I76" i="23" s="1"/>
  <c r="I86" i="23" s="1"/>
  <c r="I96" i="23" s="1"/>
  <c r="I106" i="23" s="1"/>
  <c r="I116" i="23" s="1"/>
  <c r="I126" i="23" s="1"/>
  <c r="I136" i="23" s="1"/>
  <c r="I146" i="23" s="1"/>
  <c r="I156" i="23" s="1"/>
  <c r="I166" i="23" s="1"/>
  <c r="I176" i="23" s="1"/>
  <c r="I186" i="23" s="1"/>
  <c r="I196" i="23" s="1"/>
  <c r="I206" i="23" s="1"/>
  <c r="I216" i="23" s="1"/>
  <c r="I226" i="23" s="1"/>
  <c r="I236" i="23" s="1"/>
  <c r="I246" i="23" s="1"/>
  <c r="I256" i="23" s="1"/>
  <c r="I266" i="23" s="1"/>
  <c r="I276" i="23" s="1"/>
  <c r="I286" i="23" s="1"/>
  <c r="I296" i="23" s="1"/>
  <c r="I306" i="23" s="1"/>
  <c r="I316" i="23" s="1"/>
  <c r="I326" i="23" s="1"/>
  <c r="I336" i="23" s="1"/>
  <c r="I346" i="23" s="1"/>
  <c r="I356" i="23" s="1"/>
  <c r="I366" i="23" s="1"/>
  <c r="I376" i="23" s="1"/>
  <c r="I386" i="23" s="1"/>
  <c r="I396" i="23" s="1"/>
  <c r="I406" i="23" s="1"/>
  <c r="I416" i="23" s="1"/>
  <c r="I426" i="23" s="1"/>
  <c r="I436" i="23" s="1"/>
  <c r="I446" i="23" s="1"/>
  <c r="I456" i="23" s="1"/>
  <c r="I466" i="23" s="1"/>
  <c r="I476" i="23" s="1"/>
  <c r="I486" i="23" s="1"/>
  <c r="I496" i="23" s="1"/>
  <c r="I506" i="23" s="1"/>
  <c r="I516" i="23" s="1"/>
  <c r="I526" i="23" s="1"/>
  <c r="I536" i="23" s="1"/>
  <c r="I546" i="23" s="1"/>
  <c r="N141" i="3"/>
  <c r="F109" i="3"/>
  <c r="F189" i="3"/>
  <c r="M173" i="3"/>
  <c r="N173" i="3"/>
  <c r="L109" i="3"/>
  <c r="L115" i="3" s="1"/>
  <c r="O109" i="3"/>
  <c r="O12" i="17" s="1"/>
  <c r="M157" i="3"/>
  <c r="P173" i="3"/>
  <c r="P76" i="17" s="1"/>
  <c r="F141" i="3"/>
  <c r="L173" i="3"/>
  <c r="L179" i="3" s="1"/>
  <c r="O125" i="3"/>
  <c r="O28" i="17" s="1"/>
  <c r="P157" i="3"/>
  <c r="P60" i="17" s="1"/>
  <c r="H141" i="3"/>
  <c r="H44" i="17" s="1"/>
  <c r="D141" i="3"/>
  <c r="D147" i="3" s="1"/>
  <c r="L125" i="3"/>
  <c r="L131" i="3" s="1"/>
  <c r="E109" i="3"/>
  <c r="F125" i="3"/>
  <c r="N125" i="3"/>
  <c r="F157" i="3"/>
  <c r="E173" i="3"/>
  <c r="D189" i="3"/>
  <c r="D195" i="3" s="1"/>
  <c r="M141" i="3"/>
  <c r="G173" i="3"/>
  <c r="G76" i="17" s="1"/>
  <c r="P141" i="3"/>
  <c r="P44" i="17" s="1"/>
  <c r="G189" i="3"/>
  <c r="G92" i="17" s="1"/>
  <c r="N109" i="3"/>
  <c r="H173" i="3"/>
  <c r="H76" i="17" s="1"/>
  <c r="L141" i="3"/>
  <c r="L147" i="3" s="1"/>
  <c r="E125" i="3"/>
  <c r="O157" i="3"/>
  <c r="O60" i="17" s="1"/>
  <c r="M109" i="3"/>
  <c r="G125" i="3"/>
  <c r="G28" i="17" s="1"/>
  <c r="F13" i="22"/>
  <c r="G157" i="3"/>
  <c r="G60" i="17" s="1"/>
  <c r="D157" i="3"/>
  <c r="D109" i="3"/>
  <c r="D115" i="3" s="1"/>
  <c r="H109" i="3"/>
  <c r="H12" i="17" s="1"/>
  <c r="P125" i="3"/>
  <c r="P28" i="17" s="1"/>
  <c r="G141" i="3"/>
  <c r="G44" i="17" s="1"/>
  <c r="P109" i="3"/>
  <c r="P12" i="17" s="1"/>
  <c r="D125" i="3"/>
  <c r="D131" i="3" s="1"/>
  <c r="H157" i="3"/>
  <c r="H60" i="17" s="1"/>
  <c r="E157" i="3"/>
  <c r="O173" i="3"/>
  <c r="O76" i="17" s="1"/>
  <c r="F173" i="3"/>
  <c r="E189" i="3"/>
  <c r="D173" i="3"/>
  <c r="D179" i="3" s="1"/>
  <c r="L157" i="3"/>
  <c r="E141" i="3"/>
  <c r="P75" i="17"/>
  <c r="Q140" i="3"/>
  <c r="O11" i="17"/>
  <c r="I156" i="3"/>
  <c r="H75" i="17"/>
  <c r="AI45" i="2"/>
  <c r="P43" i="17"/>
  <c r="Q156" i="3"/>
  <c r="G43" i="17"/>
  <c r="P11" i="17"/>
  <c r="G27" i="17"/>
  <c r="P59" i="17"/>
  <c r="Q172" i="3"/>
  <c r="AJ35" i="2"/>
  <c r="AK14" i="2"/>
  <c r="AJ18" i="2"/>
  <c r="AJ20" i="2"/>
  <c r="AJ39" i="2"/>
  <c r="AJ43" i="2"/>
  <c r="AJ22" i="2"/>
  <c r="AJ42" i="2"/>
  <c r="AJ16" i="2"/>
  <c r="AJ25" i="2"/>
  <c r="AJ24" i="2"/>
  <c r="AJ34" i="2"/>
  <c r="AJ23" i="2"/>
  <c r="AJ19" i="2"/>
  <c r="AJ38" i="2"/>
  <c r="AJ21" i="2"/>
  <c r="AJ17" i="2"/>
  <c r="AJ36" i="2"/>
  <c r="AJ37" i="2"/>
  <c r="AJ40" i="2"/>
  <c r="AJ41" i="2"/>
  <c r="I140" i="3"/>
  <c r="G59" i="17"/>
  <c r="G11" i="17"/>
  <c r="I188" i="3"/>
  <c r="H11" i="17"/>
  <c r="I172" i="3"/>
  <c r="O27" i="17"/>
  <c r="H43" i="17"/>
  <c r="G91" i="17"/>
  <c r="H27" i="17"/>
  <c r="O59" i="17"/>
  <c r="I5" i="23"/>
  <c r="I15" i="23" s="1"/>
  <c r="I25" i="23" s="1"/>
  <c r="I35" i="23" s="1"/>
  <c r="I45" i="23" s="1"/>
  <c r="I55" i="23" s="1"/>
  <c r="I65" i="23" s="1"/>
  <c r="I75" i="23" s="1"/>
  <c r="I85" i="23" s="1"/>
  <c r="I95" i="23" s="1"/>
  <c r="I105" i="23" s="1"/>
  <c r="I115" i="23" s="1"/>
  <c r="I125" i="23" s="1"/>
  <c r="I135" i="23" s="1"/>
  <c r="I145" i="23" s="1"/>
  <c r="I155" i="23" s="1"/>
  <c r="I165" i="23" s="1"/>
  <c r="I175" i="23" s="1"/>
  <c r="I185" i="23" s="1"/>
  <c r="I195" i="23" s="1"/>
  <c r="I205" i="23" s="1"/>
  <c r="I215" i="23" s="1"/>
  <c r="I225" i="23" s="1"/>
  <c r="I235" i="23" s="1"/>
  <c r="I245" i="23" s="1"/>
  <c r="I255" i="23" s="1"/>
  <c r="I265" i="23" s="1"/>
  <c r="I275" i="23" s="1"/>
  <c r="I285" i="23" s="1"/>
  <c r="I295" i="23" s="1"/>
  <c r="I305" i="23" s="1"/>
  <c r="I315" i="23" s="1"/>
  <c r="I325" i="23" s="1"/>
  <c r="I335" i="23" s="1"/>
  <c r="I345" i="23" s="1"/>
  <c r="I355" i="23" s="1"/>
  <c r="I365" i="23" s="1"/>
  <c r="I375" i="23" s="1"/>
  <c r="I385" i="23" s="1"/>
  <c r="I395" i="23" s="1"/>
  <c r="I405" i="23" s="1"/>
  <c r="I415" i="23" s="1"/>
  <c r="I425" i="23" s="1"/>
  <c r="I435" i="23" s="1"/>
  <c r="I445" i="23" s="1"/>
  <c r="I455" i="23" s="1"/>
  <c r="I465" i="23" s="1"/>
  <c r="I475" i="23" s="1"/>
  <c r="I485" i="23" s="1"/>
  <c r="I495" i="23" s="1"/>
  <c r="I505" i="23" s="1"/>
  <c r="I515" i="23" s="1"/>
  <c r="I525" i="23" s="1"/>
  <c r="I535" i="23" s="1"/>
  <c r="I545" i="23" s="1"/>
  <c r="Q124" i="3"/>
  <c r="H91" i="17"/>
  <c r="O43" i="17"/>
  <c r="I108" i="3"/>
  <c r="O75" i="17"/>
  <c r="H59" i="17"/>
  <c r="I124" i="3"/>
  <c r="G75" i="17"/>
  <c r="Q108" i="3"/>
  <c r="P27" i="17"/>
  <c r="AI27" i="2"/>
  <c r="H83" i="23"/>
  <c r="A73" i="23"/>
  <c r="A55" i="23"/>
  <c r="H65" i="23"/>
  <c r="A92" i="23"/>
  <c r="H102" i="23"/>
  <c r="H38" i="23"/>
  <c r="A28" i="23"/>
  <c r="H20" i="23"/>
  <c r="H11" i="23"/>
  <c r="A10" i="23"/>
  <c r="A46" i="23"/>
  <c r="H56" i="23"/>
  <c r="H47" i="23"/>
  <c r="A37" i="23"/>
  <c r="H74" i="23"/>
  <c r="A64" i="23"/>
  <c r="H29" i="23"/>
  <c r="A19" i="23"/>
  <c r="E115" i="3" l="1"/>
  <c r="H98" i="17"/>
  <c r="O179" i="3"/>
  <c r="E147" i="3"/>
  <c r="G195" i="3"/>
  <c r="H34" i="17"/>
  <c r="F147" i="3"/>
  <c r="F115" i="3"/>
  <c r="G98" i="17"/>
  <c r="H131" i="3"/>
  <c r="F131" i="3"/>
  <c r="O82" i="17"/>
  <c r="O34" i="17"/>
  <c r="M131" i="3"/>
  <c r="H195" i="3"/>
  <c r="O18" i="17"/>
  <c r="N147" i="3"/>
  <c r="P179" i="3"/>
  <c r="P66" i="17"/>
  <c r="M179" i="3"/>
  <c r="N179" i="3"/>
  <c r="N163" i="3"/>
  <c r="O131" i="3"/>
  <c r="H66" i="17"/>
  <c r="G18" i="17"/>
  <c r="O115" i="3"/>
  <c r="F195" i="3"/>
  <c r="P131" i="3"/>
  <c r="H163" i="3"/>
  <c r="G163" i="3"/>
  <c r="G66" i="17"/>
  <c r="G34" i="17"/>
  <c r="P34" i="17"/>
  <c r="O163" i="3"/>
  <c r="O66" i="17"/>
  <c r="G115" i="3"/>
  <c r="M147" i="3"/>
  <c r="E179" i="3"/>
  <c r="H147" i="3"/>
  <c r="P163" i="3"/>
  <c r="H82" i="17"/>
  <c r="F163" i="3"/>
  <c r="O147" i="3"/>
  <c r="O50" i="17"/>
  <c r="H50" i="17"/>
  <c r="H18" i="17"/>
  <c r="E131" i="3"/>
  <c r="H115" i="3"/>
  <c r="N115" i="3"/>
  <c r="F179" i="3"/>
  <c r="M115" i="3"/>
  <c r="G82" i="17"/>
  <c r="M163" i="3"/>
  <c r="D18" i="19"/>
  <c r="G179" i="3"/>
  <c r="N131" i="3"/>
  <c r="G147" i="3"/>
  <c r="H179" i="3"/>
  <c r="G50" i="17"/>
  <c r="I141" i="3"/>
  <c r="AK36" i="2"/>
  <c r="AK42" i="2"/>
  <c r="AK20" i="2"/>
  <c r="AK18" i="2"/>
  <c r="AK34" i="2"/>
  <c r="AK16" i="2"/>
  <c r="AK19" i="2"/>
  <c r="AK17" i="2"/>
  <c r="AK43" i="2"/>
  <c r="AK25" i="2"/>
  <c r="AK39" i="2"/>
  <c r="AK23" i="2"/>
  <c r="AK41" i="2"/>
  <c r="AK24" i="2"/>
  <c r="AK22" i="2"/>
  <c r="AK21" i="2"/>
  <c r="AL14" i="2"/>
  <c r="AK40" i="2"/>
  <c r="AK38" i="2"/>
  <c r="AK37" i="2"/>
  <c r="AK35" i="2"/>
  <c r="E163" i="3"/>
  <c r="P115" i="3"/>
  <c r="I189" i="3"/>
  <c r="Q109" i="3"/>
  <c r="AJ27" i="2"/>
  <c r="P18" i="17"/>
  <c r="I109" i="3"/>
  <c r="I115" i="3" s="1"/>
  <c r="Q141" i="3"/>
  <c r="I157" i="3"/>
  <c r="P147" i="3"/>
  <c r="P82" i="17"/>
  <c r="Q173" i="3"/>
  <c r="P50" i="17"/>
  <c r="I125" i="3"/>
  <c r="Q157" i="3"/>
  <c r="E195" i="3"/>
  <c r="AJ45" i="2"/>
  <c r="G131" i="3"/>
  <c r="L163" i="3"/>
  <c r="D163" i="3"/>
  <c r="I173" i="3"/>
  <c r="Q125" i="3"/>
  <c r="H84" i="23"/>
  <c r="A74" i="23"/>
  <c r="A38" i="23"/>
  <c r="H48" i="23"/>
  <c r="H57" i="23"/>
  <c r="A47" i="23"/>
  <c r="H112" i="23"/>
  <c r="A102" i="23"/>
  <c r="H66" i="23"/>
  <c r="A56" i="23"/>
  <c r="H75" i="23"/>
  <c r="A65" i="23"/>
  <c r="A29" i="23"/>
  <c r="H39" i="23"/>
  <c r="H21" i="23"/>
  <c r="A11" i="23"/>
  <c r="H30" i="23"/>
  <c r="A20" i="23"/>
  <c r="H93" i="23"/>
  <c r="A83" i="23"/>
  <c r="I195" i="3" l="1"/>
  <c r="I147" i="3"/>
  <c r="Q179" i="3"/>
  <c r="Q147" i="3"/>
  <c r="Q115" i="3"/>
  <c r="Q131" i="3"/>
  <c r="I131" i="3"/>
  <c r="I179" i="3"/>
  <c r="Q163" i="3"/>
  <c r="I163" i="3"/>
  <c r="AL34" i="2"/>
  <c r="AL43" i="2"/>
  <c r="AL41" i="2"/>
  <c r="AL18" i="2"/>
  <c r="AL22" i="2"/>
  <c r="AL20" i="2"/>
  <c r="AL38" i="2"/>
  <c r="AL36" i="2"/>
  <c r="AL21" i="2"/>
  <c r="AL16" i="2"/>
  <c r="AL39" i="2"/>
  <c r="AL37" i="2"/>
  <c r="AL35" i="2"/>
  <c r="AL40" i="2"/>
  <c r="AL17" i="2"/>
  <c r="AL25" i="2"/>
  <c r="AL19" i="2"/>
  <c r="AL23" i="2"/>
  <c r="AL42" i="2"/>
  <c r="AL24" i="2"/>
  <c r="AK27" i="2"/>
  <c r="AK45" i="2"/>
  <c r="H67" i="23"/>
  <c r="A57" i="23"/>
  <c r="H58" i="23"/>
  <c r="A48" i="23"/>
  <c r="A21" i="23"/>
  <c r="H31" i="23"/>
  <c r="A112" i="23"/>
  <c r="H122" i="23"/>
  <c r="H49" i="23"/>
  <c r="A39" i="23"/>
  <c r="H103" i="23"/>
  <c r="A93" i="23"/>
  <c r="H85" i="23"/>
  <c r="A75" i="23"/>
  <c r="H40" i="23"/>
  <c r="A30" i="23"/>
  <c r="H76" i="23"/>
  <c r="A66" i="23"/>
  <c r="H94" i="23"/>
  <c r="A84" i="23"/>
  <c r="AL27" i="2" l="1"/>
  <c r="AL45" i="2"/>
  <c r="H95" i="23"/>
  <c r="A85" i="23"/>
  <c r="H50" i="23"/>
  <c r="A40" i="23"/>
  <c r="H104" i="23"/>
  <c r="A94" i="23"/>
  <c r="H113" i="23"/>
  <c r="A103" i="23"/>
  <c r="H68" i="23"/>
  <c r="A58" i="23"/>
  <c r="H41" i="23"/>
  <c r="A31" i="23"/>
  <c r="H132" i="23"/>
  <c r="A122" i="23"/>
  <c r="H86" i="23"/>
  <c r="A76" i="23"/>
  <c r="H59" i="23"/>
  <c r="A49" i="23"/>
  <c r="H77" i="23"/>
  <c r="A67" i="23"/>
  <c r="H114" i="23" l="1"/>
  <c r="A104" i="23"/>
  <c r="H96" i="23"/>
  <c r="A86" i="23"/>
  <c r="H60" i="23"/>
  <c r="A50" i="23"/>
  <c r="H123" i="23"/>
  <c r="A113" i="23"/>
  <c r="H142" i="23"/>
  <c r="A132" i="23"/>
  <c r="H87" i="23"/>
  <c r="A77" i="23"/>
  <c r="H51" i="23"/>
  <c r="A41" i="23"/>
  <c r="H69" i="23"/>
  <c r="A59" i="23"/>
  <c r="H78" i="23"/>
  <c r="A68" i="23"/>
  <c r="A95" i="23"/>
  <c r="H105" i="23"/>
  <c r="H79" i="23" l="1"/>
  <c r="A69" i="23"/>
  <c r="H133" i="23"/>
  <c r="A123" i="23"/>
  <c r="H70" i="23"/>
  <c r="A60" i="23"/>
  <c r="H97" i="23"/>
  <c r="A87" i="23"/>
  <c r="H106" i="23"/>
  <c r="A96" i="23"/>
  <c r="H115" i="23"/>
  <c r="A105" i="23"/>
  <c r="H61" i="23"/>
  <c r="A51" i="23"/>
  <c r="H88" i="23"/>
  <c r="A78" i="23"/>
  <c r="H152" i="23"/>
  <c r="A142" i="23"/>
  <c r="H124" i="23"/>
  <c r="A114" i="23"/>
  <c r="H98" i="23" l="1"/>
  <c r="A88" i="23"/>
  <c r="H107" i="23"/>
  <c r="A97" i="23"/>
  <c r="H134" i="23"/>
  <c r="A124" i="23"/>
  <c r="H125" i="23"/>
  <c r="A115" i="23"/>
  <c r="H143" i="23"/>
  <c r="A133" i="23"/>
  <c r="H80" i="23"/>
  <c r="A70" i="23"/>
  <c r="H71" i="23"/>
  <c r="A61" i="23"/>
  <c r="H162" i="23"/>
  <c r="A152" i="23"/>
  <c r="H116" i="23"/>
  <c r="A106" i="23"/>
  <c r="H89" i="23"/>
  <c r="A79" i="23"/>
  <c r="H144" i="23" l="1"/>
  <c r="A134" i="23"/>
  <c r="H99" i="23"/>
  <c r="A89" i="23"/>
  <c r="H90" i="23"/>
  <c r="A80" i="23"/>
  <c r="H117" i="23"/>
  <c r="A107" i="23"/>
  <c r="H81" i="23"/>
  <c r="A71" i="23"/>
  <c r="H172" i="23"/>
  <c r="A162" i="23"/>
  <c r="H135" i="23"/>
  <c r="A125" i="23"/>
  <c r="H126" i="23"/>
  <c r="A116" i="23"/>
  <c r="H153" i="23"/>
  <c r="A143" i="23"/>
  <c r="H108" i="23"/>
  <c r="A98" i="23"/>
  <c r="H136" i="23" l="1"/>
  <c r="A126" i="23"/>
  <c r="H127" i="23"/>
  <c r="A117" i="23"/>
  <c r="H118" i="23"/>
  <c r="A108" i="23"/>
  <c r="H182" i="23"/>
  <c r="A172" i="23"/>
  <c r="H109" i="23"/>
  <c r="A99" i="23"/>
  <c r="H145" i="23"/>
  <c r="A135" i="23"/>
  <c r="H100" i="23"/>
  <c r="A90" i="23"/>
  <c r="H163" i="23"/>
  <c r="A153" i="23"/>
  <c r="H91" i="23"/>
  <c r="A81" i="23"/>
  <c r="H154" i="23"/>
  <c r="A144" i="23"/>
  <c r="H164" i="23" l="1"/>
  <c r="A154" i="23"/>
  <c r="H155" i="23"/>
  <c r="A145" i="23"/>
  <c r="H137" i="23"/>
  <c r="A127" i="23"/>
  <c r="H173" i="23"/>
  <c r="A163" i="23"/>
  <c r="H192" i="23"/>
  <c r="A182" i="23"/>
  <c r="H110" i="23"/>
  <c r="A100" i="23"/>
  <c r="H128" i="23"/>
  <c r="A118" i="23"/>
  <c r="H101" i="23"/>
  <c r="A91" i="23"/>
  <c r="H119" i="23"/>
  <c r="A109" i="23"/>
  <c r="H146" i="23"/>
  <c r="A136" i="23"/>
  <c r="H183" i="23" l="1"/>
  <c r="A173" i="23"/>
  <c r="H156" i="23"/>
  <c r="A146" i="23"/>
  <c r="H120" i="23"/>
  <c r="A110" i="23"/>
  <c r="H165" i="23"/>
  <c r="A155" i="23"/>
  <c r="H111" i="23"/>
  <c r="A101" i="23"/>
  <c r="H138" i="23"/>
  <c r="A128" i="23"/>
  <c r="H147" i="23"/>
  <c r="A137" i="23"/>
  <c r="H129" i="23"/>
  <c r="A119" i="23"/>
  <c r="H202" i="23"/>
  <c r="A192" i="23"/>
  <c r="H174" i="23"/>
  <c r="A164" i="23"/>
  <c r="H139" i="23" l="1"/>
  <c r="A129" i="23"/>
  <c r="H175" i="23"/>
  <c r="A165" i="23"/>
  <c r="H130" i="23"/>
  <c r="A120" i="23"/>
  <c r="H184" i="23"/>
  <c r="A174" i="23"/>
  <c r="H148" i="23"/>
  <c r="A138" i="23"/>
  <c r="H166" i="23"/>
  <c r="A156" i="23"/>
  <c r="H157" i="23"/>
  <c r="A147" i="23"/>
  <c r="H212" i="23"/>
  <c r="A202" i="23"/>
  <c r="H121" i="23"/>
  <c r="A111" i="23"/>
  <c r="H193" i="23"/>
  <c r="A183" i="23"/>
  <c r="H222" i="23" l="1"/>
  <c r="A212" i="23"/>
  <c r="H194" i="23"/>
  <c r="A184" i="23"/>
  <c r="H203" i="23"/>
  <c r="A193" i="23"/>
  <c r="H176" i="23"/>
  <c r="A166" i="23"/>
  <c r="H185" i="23"/>
  <c r="A175" i="23"/>
  <c r="H167" i="23"/>
  <c r="A157" i="23"/>
  <c r="H140" i="23"/>
  <c r="A130" i="23"/>
  <c r="H131" i="23"/>
  <c r="A121" i="23"/>
  <c r="H158" i="23"/>
  <c r="A148" i="23"/>
  <c r="H149" i="23"/>
  <c r="A139" i="23"/>
  <c r="H141" i="23" l="1"/>
  <c r="A131" i="23"/>
  <c r="H186" i="23"/>
  <c r="A176" i="23"/>
  <c r="H159" i="23"/>
  <c r="A149" i="23"/>
  <c r="H177" i="23"/>
  <c r="A167" i="23"/>
  <c r="H204" i="23"/>
  <c r="A194" i="23"/>
  <c r="H150" i="23"/>
  <c r="A140" i="23"/>
  <c r="H213" i="23"/>
  <c r="A203" i="23"/>
  <c r="H168" i="23"/>
  <c r="A158" i="23"/>
  <c r="H195" i="23"/>
  <c r="A185" i="23"/>
  <c r="H232" i="23"/>
  <c r="A222" i="23"/>
  <c r="H169" i="23" l="1"/>
  <c r="A159" i="23"/>
  <c r="H242" i="23"/>
  <c r="A232" i="23"/>
  <c r="H160" i="23"/>
  <c r="A150" i="23"/>
  <c r="H196" i="23"/>
  <c r="A186" i="23"/>
  <c r="H178" i="23"/>
  <c r="A168" i="23"/>
  <c r="H187" i="23"/>
  <c r="A177" i="23"/>
  <c r="H223" i="23"/>
  <c r="A213" i="23"/>
  <c r="H205" i="23"/>
  <c r="A195" i="23"/>
  <c r="H214" i="23"/>
  <c r="A204" i="23"/>
  <c r="H151" i="23"/>
  <c r="A141" i="23"/>
  <c r="H206" i="23" l="1"/>
  <c r="A196" i="23"/>
  <c r="H161" i="23"/>
  <c r="A151" i="23"/>
  <c r="H197" i="23"/>
  <c r="A187" i="23"/>
  <c r="H252" i="23"/>
  <c r="A242" i="23"/>
  <c r="H215" i="23"/>
  <c r="A205" i="23"/>
  <c r="H233" i="23"/>
  <c r="A223" i="23"/>
  <c r="H170" i="23"/>
  <c r="A160" i="23"/>
  <c r="H224" i="23"/>
  <c r="A214" i="23"/>
  <c r="H188" i="23"/>
  <c r="A178" i="23"/>
  <c r="H179" i="23"/>
  <c r="A169" i="23"/>
  <c r="H234" i="23" l="1"/>
  <c r="A224" i="23"/>
  <c r="H262" i="23"/>
  <c r="A252" i="23"/>
  <c r="H189" i="23"/>
  <c r="A179" i="23"/>
  <c r="H243" i="23"/>
  <c r="A233" i="23"/>
  <c r="H171" i="23"/>
  <c r="A161" i="23"/>
  <c r="H180" i="23"/>
  <c r="A170" i="23"/>
  <c r="H207" i="23"/>
  <c r="A197" i="23"/>
  <c r="H198" i="23"/>
  <c r="A188" i="23"/>
  <c r="H225" i="23"/>
  <c r="A215" i="23"/>
  <c r="H216" i="23"/>
  <c r="A206" i="23"/>
  <c r="H208" i="23" l="1"/>
  <c r="A198" i="23"/>
  <c r="H253" i="23"/>
  <c r="A243" i="23"/>
  <c r="H226" i="23"/>
  <c r="A216" i="23"/>
  <c r="H190" i="23"/>
  <c r="A180" i="23"/>
  <c r="H272" i="23"/>
  <c r="A262" i="23"/>
  <c r="H199" i="23"/>
  <c r="A189" i="23"/>
  <c r="H217" i="23"/>
  <c r="A207" i="23"/>
  <c r="H235" i="23"/>
  <c r="A225" i="23"/>
  <c r="H181" i="23"/>
  <c r="A171" i="23"/>
  <c r="H244" i="23"/>
  <c r="A234" i="23"/>
  <c r="H245" i="23" l="1"/>
  <c r="A235" i="23"/>
  <c r="H200" i="23"/>
  <c r="A190" i="23"/>
  <c r="H254" i="23"/>
  <c r="A244" i="23"/>
  <c r="H209" i="23"/>
  <c r="A199" i="23"/>
  <c r="H263" i="23"/>
  <c r="A253" i="23"/>
  <c r="H227" i="23"/>
  <c r="A217" i="23"/>
  <c r="H236" i="23"/>
  <c r="A226" i="23"/>
  <c r="H191" i="23"/>
  <c r="A181" i="23"/>
  <c r="H282" i="23"/>
  <c r="A272" i="23"/>
  <c r="H218" i="23"/>
  <c r="A208" i="23"/>
  <c r="H201" i="23" l="1"/>
  <c r="A191" i="23"/>
  <c r="H219" i="23"/>
  <c r="A209" i="23"/>
  <c r="H228" i="23"/>
  <c r="A218" i="23"/>
  <c r="H237" i="23"/>
  <c r="A227" i="23"/>
  <c r="H210" i="23"/>
  <c r="A200" i="23"/>
  <c r="H264" i="23"/>
  <c r="A254" i="23"/>
  <c r="H246" i="23"/>
  <c r="A236" i="23"/>
  <c r="H292" i="23"/>
  <c r="A282" i="23"/>
  <c r="H273" i="23"/>
  <c r="A263" i="23"/>
  <c r="H255" i="23"/>
  <c r="A245" i="23"/>
  <c r="H247" i="23" l="1"/>
  <c r="A237" i="23"/>
  <c r="H302" i="23"/>
  <c r="A292" i="23"/>
  <c r="H265" i="23"/>
  <c r="A255" i="23"/>
  <c r="H274" i="23"/>
  <c r="A264" i="23"/>
  <c r="H229" i="23"/>
  <c r="A219" i="23"/>
  <c r="H256" i="23"/>
  <c r="A246" i="23"/>
  <c r="H238" i="23"/>
  <c r="A228" i="23"/>
  <c r="H283" i="23"/>
  <c r="A273" i="23"/>
  <c r="H220" i="23"/>
  <c r="A210" i="23"/>
  <c r="H211" i="23"/>
  <c r="A201" i="23"/>
  <c r="H221" i="23" l="1"/>
  <c r="A211" i="23"/>
  <c r="H266" i="23"/>
  <c r="A256" i="23"/>
  <c r="H312" i="23"/>
  <c r="A302" i="23"/>
  <c r="H293" i="23"/>
  <c r="A283" i="23"/>
  <c r="H284" i="23"/>
  <c r="A274" i="23"/>
  <c r="H248" i="23"/>
  <c r="A238" i="23"/>
  <c r="H275" i="23"/>
  <c r="A265" i="23"/>
  <c r="H230" i="23"/>
  <c r="A220" i="23"/>
  <c r="H239" i="23"/>
  <c r="A229" i="23"/>
  <c r="H257" i="23"/>
  <c r="A247" i="23"/>
  <c r="H267" i="23" l="1"/>
  <c r="A257" i="23"/>
  <c r="H258" i="23"/>
  <c r="A248" i="23"/>
  <c r="H276" i="23"/>
  <c r="A266" i="23"/>
  <c r="H240" i="23"/>
  <c r="A230" i="23"/>
  <c r="H303" i="23"/>
  <c r="A293" i="23"/>
  <c r="H285" i="23"/>
  <c r="A275" i="23"/>
  <c r="H322" i="23"/>
  <c r="A312" i="23"/>
  <c r="H249" i="23"/>
  <c r="A239" i="23"/>
  <c r="H294" i="23"/>
  <c r="A284" i="23"/>
  <c r="H231" i="23"/>
  <c r="A221" i="23"/>
  <c r="H250" i="23" l="1"/>
  <c r="A240" i="23"/>
  <c r="H259" i="23"/>
  <c r="A249" i="23"/>
  <c r="H241" i="23"/>
  <c r="A231" i="23"/>
  <c r="H295" i="23"/>
  <c r="A285" i="23"/>
  <c r="H268" i="23"/>
  <c r="A258" i="23"/>
  <c r="H332" i="23"/>
  <c r="A322" i="23"/>
  <c r="H286" i="23"/>
  <c r="A276" i="23"/>
  <c r="H304" i="23"/>
  <c r="A294" i="23"/>
  <c r="H313" i="23"/>
  <c r="A303" i="23"/>
  <c r="H277" i="23"/>
  <c r="A267" i="23"/>
  <c r="H314" i="23" l="1"/>
  <c r="A304" i="23"/>
  <c r="H305" i="23"/>
  <c r="A295" i="23"/>
  <c r="H287" i="23"/>
  <c r="A277" i="23"/>
  <c r="H342" i="23"/>
  <c r="A332" i="23"/>
  <c r="H269" i="23"/>
  <c r="A259" i="23"/>
  <c r="H296" i="23"/>
  <c r="A286" i="23"/>
  <c r="H251" i="23"/>
  <c r="A241" i="23"/>
  <c r="H323" i="23"/>
  <c r="A313" i="23"/>
  <c r="H278" i="23"/>
  <c r="A268" i="23"/>
  <c r="H260" i="23"/>
  <c r="A250" i="23"/>
  <c r="H333" i="23" l="1"/>
  <c r="A323" i="23"/>
  <c r="H352" i="23"/>
  <c r="A342" i="23"/>
  <c r="H270" i="23"/>
  <c r="A260" i="23"/>
  <c r="H306" i="23"/>
  <c r="A296" i="23"/>
  <c r="H315" i="23"/>
  <c r="A305" i="23"/>
  <c r="H261" i="23"/>
  <c r="A251" i="23"/>
  <c r="H297" i="23"/>
  <c r="A287" i="23"/>
  <c r="H288" i="23"/>
  <c r="A278" i="23"/>
  <c r="H279" i="23"/>
  <c r="A269" i="23"/>
  <c r="H324" i="23"/>
  <c r="A314" i="23"/>
  <c r="H316" i="23" l="1"/>
  <c r="A306" i="23"/>
  <c r="H298" i="23"/>
  <c r="A288" i="23"/>
  <c r="H334" i="23"/>
  <c r="A324" i="23"/>
  <c r="H271" i="23"/>
  <c r="A261" i="23"/>
  <c r="H362" i="23"/>
  <c r="A352" i="23"/>
  <c r="H280" i="23"/>
  <c r="A270" i="23"/>
  <c r="H307" i="23"/>
  <c r="A297" i="23"/>
  <c r="H289" i="23"/>
  <c r="A279" i="23"/>
  <c r="H325" i="23"/>
  <c r="A315" i="23"/>
  <c r="H343" i="23"/>
  <c r="A333" i="23"/>
  <c r="A289" i="23" l="1"/>
  <c r="H299" i="23"/>
  <c r="H281" i="23"/>
  <c r="A271" i="23"/>
  <c r="H353" i="23"/>
  <c r="A343" i="23"/>
  <c r="A280" i="23"/>
  <c r="H290" i="23"/>
  <c r="H308" i="23"/>
  <c r="A298" i="23"/>
  <c r="H317" i="23"/>
  <c r="A307" i="23"/>
  <c r="H344" i="23"/>
  <c r="A334" i="23"/>
  <c r="H335" i="23"/>
  <c r="A325" i="23"/>
  <c r="H372" i="23"/>
  <c r="A362" i="23"/>
  <c r="H326" i="23"/>
  <c r="A316" i="23"/>
  <c r="H300" i="23" l="1"/>
  <c r="A290" i="23"/>
  <c r="H345" i="23"/>
  <c r="A335" i="23"/>
  <c r="H336" i="23"/>
  <c r="A326" i="23"/>
  <c r="H327" i="23"/>
  <c r="A317" i="23"/>
  <c r="H291" i="23"/>
  <c r="A281" i="23"/>
  <c r="H309" i="23"/>
  <c r="A299" i="23"/>
  <c r="H354" i="23"/>
  <c r="A344" i="23"/>
  <c r="A353" i="23"/>
  <c r="H363" i="23"/>
  <c r="H382" i="23"/>
  <c r="A372" i="23"/>
  <c r="A308" i="23"/>
  <c r="H318" i="23"/>
  <c r="A363" i="23" l="1"/>
  <c r="H373" i="23"/>
  <c r="A327" i="23"/>
  <c r="H337" i="23"/>
  <c r="H364" i="23"/>
  <c r="A354" i="23"/>
  <c r="H319" i="23"/>
  <c r="A309" i="23"/>
  <c r="A345" i="23"/>
  <c r="H355" i="23"/>
  <c r="A336" i="23"/>
  <c r="H346" i="23"/>
  <c r="A318" i="23"/>
  <c r="H328" i="23"/>
  <c r="H392" i="23"/>
  <c r="A382" i="23"/>
  <c r="A291" i="23"/>
  <c r="H301" i="23"/>
  <c r="A300" i="23"/>
  <c r="H310" i="23"/>
  <c r="A364" i="23" l="1"/>
  <c r="H374" i="23"/>
  <c r="A310" i="23"/>
  <c r="H320" i="23"/>
  <c r="H356" i="23"/>
  <c r="A346" i="23"/>
  <c r="H347" i="23"/>
  <c r="A337" i="23"/>
  <c r="A319" i="23"/>
  <c r="H329" i="23"/>
  <c r="H311" i="23"/>
  <c r="A301" i="23"/>
  <c r="A355" i="23"/>
  <c r="H365" i="23"/>
  <c r="A373" i="23"/>
  <c r="H383" i="23"/>
  <c r="H402" i="23"/>
  <c r="A392" i="23"/>
  <c r="H338" i="23"/>
  <c r="A328" i="23"/>
  <c r="A383" i="23" l="1"/>
  <c r="H393" i="23"/>
  <c r="A365" i="23"/>
  <c r="H375" i="23"/>
  <c r="A320" i="23"/>
  <c r="H330" i="23"/>
  <c r="A338" i="23"/>
  <c r="H348" i="23"/>
  <c r="H366" i="23"/>
  <c r="A356" i="23"/>
  <c r="H321" i="23"/>
  <c r="A311" i="23"/>
  <c r="A329" i="23"/>
  <c r="H339" i="23"/>
  <c r="A374" i="23"/>
  <c r="H384" i="23"/>
  <c r="H357" i="23"/>
  <c r="A347" i="23"/>
  <c r="H412" i="23"/>
  <c r="A402" i="23"/>
  <c r="H394" i="23" l="1"/>
  <c r="A384" i="23"/>
  <c r="A348" i="23"/>
  <c r="H358" i="23"/>
  <c r="A339" i="23"/>
  <c r="H349" i="23"/>
  <c r="A330" i="23"/>
  <c r="H340" i="23"/>
  <c r="A375" i="23"/>
  <c r="H385" i="23"/>
  <c r="A412" i="23"/>
  <c r="H422" i="23"/>
  <c r="H331" i="23"/>
  <c r="A321" i="23"/>
  <c r="H403" i="23"/>
  <c r="A393" i="23"/>
  <c r="H367" i="23"/>
  <c r="A357" i="23"/>
  <c r="H376" i="23"/>
  <c r="A366" i="23"/>
  <c r="H413" i="23" l="1"/>
  <c r="A403" i="23"/>
  <c r="A422" i="23"/>
  <c r="H432" i="23"/>
  <c r="H368" i="23"/>
  <c r="A358" i="23"/>
  <c r="A349" i="23"/>
  <c r="H359" i="23"/>
  <c r="H341" i="23"/>
  <c r="A331" i="23"/>
  <c r="H350" i="23"/>
  <c r="A340" i="23"/>
  <c r="A376" i="23"/>
  <c r="H386" i="23"/>
  <c r="A385" i="23"/>
  <c r="H395" i="23"/>
  <c r="A367" i="23"/>
  <c r="H377" i="23"/>
  <c r="A394" i="23"/>
  <c r="H404" i="23"/>
  <c r="H369" i="23" l="1"/>
  <c r="A359" i="23"/>
  <c r="A432" i="23"/>
  <c r="H442" i="23"/>
  <c r="H405" i="23"/>
  <c r="A395" i="23"/>
  <c r="A368" i="23"/>
  <c r="H378" i="23"/>
  <c r="A404" i="23"/>
  <c r="H414" i="23"/>
  <c r="A386" i="23"/>
  <c r="H396" i="23"/>
  <c r="H360" i="23"/>
  <c r="A350" i="23"/>
  <c r="A377" i="23"/>
  <c r="H387" i="23"/>
  <c r="H351" i="23"/>
  <c r="A341" i="23"/>
  <c r="A413" i="23"/>
  <c r="H423" i="23"/>
  <c r="H397" i="23" l="1"/>
  <c r="A387" i="23"/>
  <c r="H388" i="23"/>
  <c r="A378" i="23"/>
  <c r="A405" i="23"/>
  <c r="H415" i="23"/>
  <c r="A423" i="23"/>
  <c r="H433" i="23"/>
  <c r="H406" i="23"/>
  <c r="A396" i="23"/>
  <c r="A442" i="23"/>
  <c r="H452" i="23"/>
  <c r="H370" i="23"/>
  <c r="A360" i="23"/>
  <c r="H424" i="23"/>
  <c r="A414" i="23"/>
  <c r="H361" i="23"/>
  <c r="A351" i="23"/>
  <c r="H379" i="23"/>
  <c r="A369" i="23"/>
  <c r="H443" i="23" l="1"/>
  <c r="A433" i="23"/>
  <c r="H380" i="23"/>
  <c r="A370" i="23"/>
  <c r="H425" i="23"/>
  <c r="A415" i="23"/>
  <c r="H398" i="23"/>
  <c r="A388" i="23"/>
  <c r="A424" i="23"/>
  <c r="H434" i="23"/>
  <c r="H462" i="23"/>
  <c r="A452" i="23"/>
  <c r="A379" i="23"/>
  <c r="H389" i="23"/>
  <c r="A361" i="23"/>
  <c r="H371" i="23"/>
  <c r="H416" i="23"/>
  <c r="A406" i="23"/>
  <c r="H407" i="23"/>
  <c r="A397" i="23"/>
  <c r="A398" i="23" l="1"/>
  <c r="H408" i="23"/>
  <c r="H399" i="23"/>
  <c r="A389" i="23"/>
  <c r="A462" i="23"/>
  <c r="H472" i="23"/>
  <c r="H390" i="23"/>
  <c r="A380" i="23"/>
  <c r="H381" i="23"/>
  <c r="A371" i="23"/>
  <c r="H435" i="23"/>
  <c r="A425" i="23"/>
  <c r="A407" i="23"/>
  <c r="H417" i="23"/>
  <c r="H444" i="23"/>
  <c r="A434" i="23"/>
  <c r="H426" i="23"/>
  <c r="A416" i="23"/>
  <c r="H453" i="23"/>
  <c r="A443" i="23"/>
  <c r="H400" i="23" l="1"/>
  <c r="A390" i="23"/>
  <c r="A472" i="23"/>
  <c r="H482" i="23"/>
  <c r="A444" i="23"/>
  <c r="H454" i="23"/>
  <c r="H427" i="23"/>
  <c r="A417" i="23"/>
  <c r="A453" i="23"/>
  <c r="H463" i="23"/>
  <c r="H445" i="23"/>
  <c r="A435" i="23"/>
  <c r="H409" i="23"/>
  <c r="A399" i="23"/>
  <c r="H418" i="23"/>
  <c r="A408" i="23"/>
  <c r="H436" i="23"/>
  <c r="A426" i="23"/>
  <c r="H391" i="23"/>
  <c r="A381" i="23"/>
  <c r="H419" i="23" l="1"/>
  <c r="A409" i="23"/>
  <c r="A482" i="23"/>
  <c r="H492" i="23"/>
  <c r="H428" i="23"/>
  <c r="A418" i="23"/>
  <c r="H437" i="23"/>
  <c r="A427" i="23"/>
  <c r="A454" i="23"/>
  <c r="H464" i="23"/>
  <c r="A391" i="23"/>
  <c r="H401" i="23"/>
  <c r="H455" i="23"/>
  <c r="A445" i="23"/>
  <c r="A463" i="23"/>
  <c r="H473" i="23"/>
  <c r="H446" i="23"/>
  <c r="A436" i="23"/>
  <c r="A400" i="23"/>
  <c r="H410" i="23"/>
  <c r="H465" i="23" l="1"/>
  <c r="A455" i="23"/>
  <c r="H438" i="23"/>
  <c r="A428" i="23"/>
  <c r="H420" i="23"/>
  <c r="A410" i="23"/>
  <c r="H411" i="23"/>
  <c r="A401" i="23"/>
  <c r="H502" i="23"/>
  <c r="A492" i="23"/>
  <c r="H447" i="23"/>
  <c r="A437" i="23"/>
  <c r="A464" i="23"/>
  <c r="H474" i="23"/>
  <c r="H483" i="23"/>
  <c r="A473" i="23"/>
  <c r="A446" i="23"/>
  <c r="H456" i="23"/>
  <c r="H429" i="23"/>
  <c r="A419" i="23"/>
  <c r="H493" i="23" l="1"/>
  <c r="A483" i="23"/>
  <c r="H421" i="23"/>
  <c r="A411" i="23"/>
  <c r="H484" i="23"/>
  <c r="A474" i="23"/>
  <c r="H439" i="23"/>
  <c r="A429" i="23"/>
  <c r="H457" i="23"/>
  <c r="A447" i="23"/>
  <c r="H448" i="23"/>
  <c r="A438" i="23"/>
  <c r="A420" i="23"/>
  <c r="H430" i="23"/>
  <c r="H466" i="23"/>
  <c r="A456" i="23"/>
  <c r="H512" i="23"/>
  <c r="A502" i="23"/>
  <c r="A465" i="23"/>
  <c r="H475" i="23"/>
  <c r="H476" i="23" l="1"/>
  <c r="A466" i="23"/>
  <c r="H440" i="23"/>
  <c r="A430" i="23"/>
  <c r="H449" i="23"/>
  <c r="A439" i="23"/>
  <c r="H458" i="23"/>
  <c r="A448" i="23"/>
  <c r="H431" i="23"/>
  <c r="A421" i="23"/>
  <c r="A484" i="23"/>
  <c r="H494" i="23"/>
  <c r="A475" i="23"/>
  <c r="H485" i="23"/>
  <c r="H522" i="23"/>
  <c r="A512" i="23"/>
  <c r="A457" i="23"/>
  <c r="H467" i="23"/>
  <c r="A493" i="23"/>
  <c r="H503" i="23"/>
  <c r="A522" i="23" l="1"/>
  <c r="H532" i="23"/>
  <c r="H468" i="23"/>
  <c r="A458" i="23"/>
  <c r="A485" i="23"/>
  <c r="H495" i="23"/>
  <c r="H450" i="23"/>
  <c r="A440" i="23"/>
  <c r="H477" i="23"/>
  <c r="A467" i="23"/>
  <c r="A449" i="23"/>
  <c r="H459" i="23"/>
  <c r="H513" i="23"/>
  <c r="A503" i="23"/>
  <c r="H504" i="23"/>
  <c r="A494" i="23"/>
  <c r="H441" i="23"/>
  <c r="A431" i="23"/>
  <c r="H486" i="23"/>
  <c r="A476" i="23"/>
  <c r="A495" i="23" l="1"/>
  <c r="H505" i="23"/>
  <c r="H523" i="23"/>
  <c r="A513" i="23"/>
  <c r="H478" i="23"/>
  <c r="A468" i="23"/>
  <c r="A504" i="23"/>
  <c r="H514" i="23"/>
  <c r="H460" i="23"/>
  <c r="A450" i="23"/>
  <c r="H469" i="23"/>
  <c r="A459" i="23"/>
  <c r="A486" i="23"/>
  <c r="H496" i="23"/>
  <c r="H542" i="23"/>
  <c r="A542" i="23" s="1"/>
  <c r="A532" i="23"/>
  <c r="A441" i="23"/>
  <c r="H451" i="23"/>
  <c r="H487" i="23"/>
  <c r="A477" i="23"/>
  <c r="H497" i="23" l="1"/>
  <c r="A487" i="23"/>
  <c r="H479" i="23"/>
  <c r="A469" i="23"/>
  <c r="H533" i="23"/>
  <c r="A523" i="23"/>
  <c r="H506" i="23"/>
  <c r="A496" i="23"/>
  <c r="H461" i="23"/>
  <c r="A451" i="23"/>
  <c r="H515" i="23"/>
  <c r="A505" i="23"/>
  <c r="A514" i="23"/>
  <c r="H524" i="23"/>
  <c r="A478" i="23"/>
  <c r="H488" i="23"/>
  <c r="H470" i="23"/>
  <c r="A460" i="23"/>
  <c r="H498" i="23" l="1"/>
  <c r="A488" i="23"/>
  <c r="H516" i="23"/>
  <c r="A506" i="23"/>
  <c r="H534" i="23"/>
  <c r="A524" i="23"/>
  <c r="A515" i="23"/>
  <c r="H525" i="23"/>
  <c r="H489" i="23"/>
  <c r="A479" i="23"/>
  <c r="H543" i="23"/>
  <c r="A543" i="23" s="1"/>
  <c r="A533" i="23"/>
  <c r="A470" i="23"/>
  <c r="H480" i="23"/>
  <c r="A461" i="23"/>
  <c r="H471" i="23"/>
  <c r="H507" i="23"/>
  <c r="A497" i="23"/>
  <c r="A525" i="23" l="1"/>
  <c r="H535" i="23"/>
  <c r="A516" i="23"/>
  <c r="H526" i="23"/>
  <c r="H490" i="23"/>
  <c r="A480" i="23"/>
  <c r="H481" i="23"/>
  <c r="A471" i="23"/>
  <c r="H544" i="23"/>
  <c r="A544" i="23" s="1"/>
  <c r="A534" i="23"/>
  <c r="H517" i="23"/>
  <c r="A507" i="23"/>
  <c r="H499" i="23"/>
  <c r="A489" i="23"/>
  <c r="A498" i="23"/>
  <c r="H508" i="23"/>
  <c r="A490" i="23" l="1"/>
  <c r="H500" i="23"/>
  <c r="H536" i="23"/>
  <c r="A526" i="23"/>
  <c r="A508" i="23"/>
  <c r="H518" i="23"/>
  <c r="H491" i="23"/>
  <c r="A481" i="23"/>
  <c r="H527" i="23"/>
  <c r="A517" i="23"/>
  <c r="A535" i="23"/>
  <c r="H545" i="23"/>
  <c r="A545" i="23" s="1"/>
  <c r="H509" i="23"/>
  <c r="A499" i="23"/>
  <c r="A536" i="23" l="1"/>
  <c r="H546" i="23"/>
  <c r="A546" i="23" s="1"/>
  <c r="H501" i="23"/>
  <c r="A491" i="23"/>
  <c r="H510" i="23"/>
  <c r="A500" i="23"/>
  <c r="H528" i="23"/>
  <c r="A518" i="23"/>
  <c r="H519" i="23"/>
  <c r="A509" i="23"/>
  <c r="H537" i="23"/>
  <c r="A527" i="23"/>
  <c r="H547" i="23" l="1"/>
  <c r="A547" i="23" s="1"/>
  <c r="A537" i="23"/>
  <c r="H511" i="23"/>
  <c r="A501" i="23"/>
  <c r="A510" i="23"/>
  <c r="H520" i="23"/>
  <c r="A528" i="23"/>
  <c r="H538" i="23"/>
  <c r="H529" i="23"/>
  <c r="A519" i="23"/>
  <c r="H548" i="23" l="1"/>
  <c r="A548" i="23" s="1"/>
  <c r="A538" i="23"/>
  <c r="H530" i="23"/>
  <c r="A520" i="23"/>
  <c r="A511" i="23"/>
  <c r="H521" i="23"/>
  <c r="H539" i="23"/>
  <c r="A529" i="23"/>
  <c r="A539" i="23" l="1"/>
  <c r="H549" i="23"/>
  <c r="A549" i="23" s="1"/>
  <c r="H531" i="23"/>
  <c r="A521" i="23"/>
  <c r="H540" i="23"/>
  <c r="A530" i="23"/>
  <c r="A540" i="23" l="1"/>
  <c r="H550" i="23"/>
  <c r="A550" i="23" s="1"/>
  <c r="A531" i="23"/>
  <c r="H541" i="23"/>
  <c r="H551" i="23" l="1"/>
  <c r="A551" i="23" s="1"/>
  <c r="A541" i="23"/>
  <c r="D38" i="19" l="1"/>
  <c r="M102" i="23" s="1"/>
  <c r="M103" i="23" s="1"/>
  <c r="M104" i="23" s="1"/>
  <c r="M105" i="23" s="1"/>
  <c r="M106" i="23" s="1"/>
  <c r="M107" i="23" s="1"/>
  <c r="M108" i="23" s="1"/>
  <c r="M109" i="23" s="1"/>
  <c r="M110" i="23" s="1"/>
  <c r="M111" i="23" s="1"/>
  <c r="E9" i="4"/>
  <c r="E20" i="4" s="1"/>
  <c r="E65" i="4" s="1"/>
  <c r="E67" i="4" s="1"/>
  <c r="L26" i="17" s="1"/>
  <c r="M152" i="23" l="1"/>
  <c r="M153" i="23" s="1"/>
  <c r="M154" i="23" s="1"/>
  <c r="M155" i="23" s="1"/>
  <c r="M156" i="23" s="1"/>
  <c r="M157" i="23" s="1"/>
  <c r="M158" i="23" s="1"/>
  <c r="M159" i="23" s="1"/>
  <c r="M160" i="23" s="1"/>
  <c r="M161" i="23" s="1"/>
  <c r="M502" i="23"/>
  <c r="M503" i="23" s="1"/>
  <c r="M504" i="23" s="1"/>
  <c r="M505" i="23" s="1"/>
  <c r="M506" i="23" s="1"/>
  <c r="M507" i="23" s="1"/>
  <c r="M508" i="23" s="1"/>
  <c r="M509" i="23" s="1"/>
  <c r="M510" i="23" s="1"/>
  <c r="M511" i="23" s="1"/>
  <c r="M352" i="23"/>
  <c r="M353" i="23" s="1"/>
  <c r="M354" i="23" s="1"/>
  <c r="M355" i="23" s="1"/>
  <c r="M356" i="23" s="1"/>
  <c r="M357" i="23" s="1"/>
  <c r="M358" i="23" s="1"/>
  <c r="M359" i="23" s="1"/>
  <c r="M360" i="23" s="1"/>
  <c r="M361" i="23" s="1"/>
  <c r="M202" i="23"/>
  <c r="M203" i="23" s="1"/>
  <c r="M204" i="23" s="1"/>
  <c r="M205" i="23" s="1"/>
  <c r="M206" i="23" s="1"/>
  <c r="M207" i="23" s="1"/>
  <c r="M208" i="23" s="1"/>
  <c r="M209" i="23" s="1"/>
  <c r="M210" i="23" s="1"/>
  <c r="M211" i="23" s="1"/>
  <c r="M252" i="23"/>
  <c r="M253" i="23" s="1"/>
  <c r="M254" i="23" s="1"/>
  <c r="M255" i="23" s="1"/>
  <c r="M256" i="23" s="1"/>
  <c r="M257" i="23" s="1"/>
  <c r="M258" i="23" s="1"/>
  <c r="M259" i="23" s="1"/>
  <c r="M260" i="23" s="1"/>
  <c r="M261" i="23" s="1"/>
  <c r="M52" i="23"/>
  <c r="M53" i="23" s="1"/>
  <c r="M54" i="23" s="1"/>
  <c r="M55" i="23" s="1"/>
  <c r="M56" i="23" s="1"/>
  <c r="M57" i="23" s="1"/>
  <c r="M58" i="23" s="1"/>
  <c r="M59" i="23" s="1"/>
  <c r="M60" i="23" s="1"/>
  <c r="M61" i="23" s="1"/>
  <c r="M302" i="23"/>
  <c r="M303" i="23" s="1"/>
  <c r="M304" i="23" s="1"/>
  <c r="M305" i="23" s="1"/>
  <c r="M306" i="23" s="1"/>
  <c r="M307" i="23" s="1"/>
  <c r="M308" i="23" s="1"/>
  <c r="M309" i="23" s="1"/>
  <c r="M310" i="23" s="1"/>
  <c r="M311" i="23" s="1"/>
  <c r="M452" i="23"/>
  <c r="M453" i="23" s="1"/>
  <c r="M454" i="23" s="1"/>
  <c r="M455" i="23" s="1"/>
  <c r="M456" i="23" s="1"/>
  <c r="M457" i="23" s="1"/>
  <c r="M458" i="23" s="1"/>
  <c r="M459" i="23" s="1"/>
  <c r="M460" i="23" s="1"/>
  <c r="M461" i="23" s="1"/>
  <c r="M2" i="23"/>
  <c r="M3" i="23" s="1"/>
  <c r="M4" i="23" s="1"/>
  <c r="M5" i="23" s="1"/>
  <c r="M6" i="23" s="1"/>
  <c r="M7" i="23" s="1"/>
  <c r="M8" i="23" s="1"/>
  <c r="M9" i="23" s="1"/>
  <c r="M10" i="23" s="1"/>
  <c r="M11" i="23" s="1"/>
  <c r="M402" i="23"/>
  <c r="M403" i="23" s="1"/>
  <c r="M404" i="23" s="1"/>
  <c r="M405" i="23" s="1"/>
  <c r="M406" i="23" s="1"/>
  <c r="M407" i="23" s="1"/>
  <c r="M408" i="23" s="1"/>
  <c r="M409" i="23" s="1"/>
  <c r="M410" i="23" s="1"/>
  <c r="M411" i="23" s="1"/>
  <c r="D14" i="17"/>
  <c r="D49" i="17"/>
  <c r="L48" i="17"/>
  <c r="L62" i="17"/>
  <c r="D10" i="17"/>
  <c r="D48" i="17"/>
  <c r="L41" i="17"/>
  <c r="L57" i="17"/>
  <c r="D33" i="17"/>
  <c r="D56" i="17"/>
  <c r="L47" i="17"/>
  <c r="D25" i="17"/>
  <c r="D45" i="17"/>
  <c r="D96" i="17"/>
  <c r="L56" i="17"/>
  <c r="L60" i="17"/>
  <c r="D61" i="17"/>
  <c r="L11" i="17"/>
  <c r="D40" i="17"/>
  <c r="L77" i="17"/>
  <c r="D77" i="17"/>
  <c r="L59" i="17"/>
  <c r="D78" i="17"/>
  <c r="D29" i="17"/>
  <c r="D30" i="17"/>
  <c r="D76" i="17"/>
  <c r="D97" i="17"/>
  <c r="D72" i="17"/>
  <c r="L40" i="17"/>
  <c r="L79" i="17"/>
  <c r="D8" i="17"/>
  <c r="D47" i="17"/>
  <c r="L14" i="17"/>
  <c r="L12" i="17"/>
  <c r="L30" i="17"/>
  <c r="L17" i="17"/>
  <c r="D73" i="17"/>
  <c r="L78" i="17"/>
  <c r="L28" i="17"/>
  <c r="L64" i="17"/>
  <c r="D46" i="17"/>
  <c r="L8" i="17"/>
  <c r="D88" i="17"/>
  <c r="L81" i="17"/>
  <c r="L44" i="17"/>
  <c r="D15" i="17"/>
  <c r="D80" i="17"/>
  <c r="D63" i="17"/>
  <c r="L73" i="17"/>
  <c r="L9" i="17"/>
  <c r="L16" i="17"/>
  <c r="L75" i="17"/>
  <c r="D90" i="17"/>
  <c r="D28" i="17"/>
  <c r="D9" i="17"/>
  <c r="L58" i="17"/>
  <c r="D94" i="17"/>
  <c r="L74" i="17"/>
  <c r="L63" i="17"/>
  <c r="D26" i="17"/>
  <c r="L46" i="17"/>
  <c r="D89" i="17"/>
  <c r="D81" i="17"/>
  <c r="L31" i="17"/>
  <c r="L10" i="17"/>
  <c r="D12" i="17"/>
  <c r="D13" i="17"/>
  <c r="D95" i="17"/>
  <c r="D41" i="17"/>
  <c r="D57" i="17"/>
  <c r="D65" i="17"/>
  <c r="D64" i="17"/>
  <c r="D58" i="17"/>
  <c r="L76" i="17"/>
  <c r="L45" i="17"/>
  <c r="L49" i="17"/>
  <c r="L65" i="17"/>
  <c r="D24" i="17"/>
  <c r="L15" i="17"/>
  <c r="D17" i="17"/>
  <c r="D31" i="17"/>
  <c r="D93" i="17"/>
  <c r="L72" i="17"/>
  <c r="D59" i="17"/>
  <c r="L13" i="17"/>
  <c r="D27" i="17"/>
  <c r="D92" i="17"/>
  <c r="D44" i="17"/>
  <c r="D62" i="17"/>
  <c r="L29" i="17"/>
  <c r="D16" i="17"/>
  <c r="D32" i="17"/>
  <c r="D11" i="17"/>
  <c r="L80" i="17"/>
  <c r="D43" i="17"/>
  <c r="L33" i="17"/>
  <c r="L24" i="17"/>
  <c r="L32" i="17"/>
  <c r="D74" i="17"/>
  <c r="L43" i="17"/>
  <c r="D75" i="17"/>
  <c r="L61" i="17"/>
  <c r="D91" i="17"/>
  <c r="D79" i="17"/>
  <c r="L25" i="17"/>
  <c r="L27" i="17"/>
  <c r="D60" i="17"/>
  <c r="D42" i="17"/>
  <c r="L42" i="17"/>
  <c r="L50" i="17" l="1"/>
  <c r="L34" i="17"/>
  <c r="L66" i="17"/>
  <c r="D66" i="17"/>
  <c r="D34" i="17"/>
  <c r="D82" i="17"/>
  <c r="L82" i="17"/>
  <c r="L18" i="17"/>
  <c r="D98" i="17"/>
  <c r="D18" i="17"/>
  <c r="D50" i="17"/>
  <c r="G20" i="4" l="1"/>
  <c r="G65" i="4" s="1"/>
  <c r="G67" i="4" s="1"/>
  <c r="K5" i="24"/>
  <c r="F9" i="4" s="1"/>
  <c r="F20" i="4" s="1"/>
  <c r="F65" i="4" s="1"/>
  <c r="F67" i="4" s="1"/>
  <c r="E14" i="17" l="1"/>
  <c r="E93" i="17"/>
  <c r="E94" i="17"/>
  <c r="E63" i="17"/>
  <c r="E64" i="17"/>
  <c r="E97" i="17"/>
  <c r="E80" i="17"/>
  <c r="E77" i="17"/>
  <c r="M79" i="17"/>
  <c r="M46" i="17"/>
  <c r="M49" i="17"/>
  <c r="M63" i="17"/>
  <c r="M77" i="17"/>
  <c r="M64" i="17"/>
  <c r="M31" i="17"/>
  <c r="E62" i="17"/>
  <c r="M13" i="17"/>
  <c r="M29" i="17"/>
  <c r="E65" i="17"/>
  <c r="M81" i="17"/>
  <c r="E46" i="17"/>
  <c r="M15" i="17"/>
  <c r="E49" i="17"/>
  <c r="M65" i="17"/>
  <c r="M62" i="17"/>
  <c r="M32" i="17"/>
  <c r="E33" i="17"/>
  <c r="M47" i="17"/>
  <c r="E30" i="17"/>
  <c r="M78" i="17"/>
  <c r="M17" i="17"/>
  <c r="M80" i="17"/>
  <c r="E32" i="17"/>
  <c r="E31" i="17"/>
  <c r="E47" i="17"/>
  <c r="E45" i="17"/>
  <c r="M30" i="17"/>
  <c r="E13" i="17"/>
  <c r="E96" i="17"/>
  <c r="M45" i="17"/>
  <c r="E95" i="17"/>
  <c r="E15" i="17"/>
  <c r="E79" i="17"/>
  <c r="E29" i="17"/>
  <c r="E48" i="17"/>
  <c r="M16" i="17"/>
  <c r="E17" i="17"/>
  <c r="M61" i="17"/>
  <c r="E61" i="17"/>
  <c r="E16" i="17"/>
  <c r="E78" i="17"/>
  <c r="M33" i="17"/>
  <c r="M48" i="17"/>
  <c r="M14" i="17"/>
  <c r="E81" i="17"/>
  <c r="M8" i="17"/>
  <c r="E88" i="17"/>
  <c r="E56" i="17"/>
  <c r="E72" i="17"/>
  <c r="M40" i="17"/>
  <c r="M24" i="17"/>
  <c r="E24" i="17"/>
  <c r="M72" i="17"/>
  <c r="M56" i="17"/>
  <c r="E40" i="17"/>
  <c r="E8" i="17"/>
  <c r="E41" i="17"/>
  <c r="E89" i="17"/>
  <c r="E9" i="17"/>
  <c r="M57" i="17"/>
  <c r="E25" i="17"/>
  <c r="M25" i="17"/>
  <c r="E73" i="17"/>
  <c r="M73" i="17"/>
  <c r="M9" i="17"/>
  <c r="E57" i="17"/>
  <c r="M41" i="17"/>
  <c r="E74" i="17"/>
  <c r="M42" i="17"/>
  <c r="M10" i="17"/>
  <c r="E10" i="17"/>
  <c r="E26" i="17"/>
  <c r="E42" i="17"/>
  <c r="M58" i="17"/>
  <c r="M26" i="17"/>
  <c r="E58" i="17"/>
  <c r="E90" i="17"/>
  <c r="M74" i="17"/>
  <c r="E91" i="17"/>
  <c r="E27" i="17"/>
  <c r="M59" i="17"/>
  <c r="M27" i="17"/>
  <c r="E43" i="17"/>
  <c r="E59" i="17"/>
  <c r="M75" i="17"/>
  <c r="M11" i="17"/>
  <c r="E11" i="17"/>
  <c r="M43" i="17"/>
  <c r="E75" i="17"/>
  <c r="E28" i="17"/>
  <c r="M44" i="17"/>
  <c r="M12" i="17"/>
  <c r="M60" i="17"/>
  <c r="E76" i="17"/>
  <c r="M76" i="17"/>
  <c r="M28" i="17"/>
  <c r="E12" i="17"/>
  <c r="E60" i="17"/>
  <c r="E44" i="17"/>
  <c r="E92" i="17"/>
  <c r="D40" i="19"/>
  <c r="M222" i="23" s="1"/>
  <c r="M223" i="23" s="1"/>
  <c r="M224" i="23" s="1"/>
  <c r="M225" i="23" s="1"/>
  <c r="M226" i="23" s="1"/>
  <c r="M227" i="23" s="1"/>
  <c r="M228" i="23" s="1"/>
  <c r="M229" i="23" s="1"/>
  <c r="M230" i="23" s="1"/>
  <c r="M231" i="23" s="1"/>
  <c r="M422" i="23"/>
  <c r="M423" i="23" s="1"/>
  <c r="M424" i="23" s="1"/>
  <c r="M425" i="23" s="1"/>
  <c r="M426" i="23" s="1"/>
  <c r="M427" i="23" s="1"/>
  <c r="M428" i="23" s="1"/>
  <c r="M429" i="23" s="1"/>
  <c r="M430" i="23" s="1"/>
  <c r="M431" i="23" s="1"/>
  <c r="N29" i="17"/>
  <c r="F96" i="17"/>
  <c r="F80" i="17"/>
  <c r="F32" i="17"/>
  <c r="F17" i="17"/>
  <c r="F31" i="17"/>
  <c r="F49" i="17"/>
  <c r="I49" i="17" s="1"/>
  <c r="H65" i="19" s="1"/>
  <c r="N80" i="17"/>
  <c r="Q80" i="17" s="1"/>
  <c r="M64" i="19" s="1"/>
  <c r="F78" i="17"/>
  <c r="N16" i="17"/>
  <c r="F16" i="17"/>
  <c r="N45" i="17"/>
  <c r="F64" i="17"/>
  <c r="I64" i="17" s="1"/>
  <c r="J64" i="19" s="1"/>
  <c r="F65" i="17"/>
  <c r="I65" i="17" s="1"/>
  <c r="J65" i="19" s="1"/>
  <c r="F81" i="17"/>
  <c r="F95" i="17"/>
  <c r="F62" i="17"/>
  <c r="N64" i="17"/>
  <c r="N32" i="17"/>
  <c r="N33" i="17"/>
  <c r="F48" i="17"/>
  <c r="I48" i="17" s="1"/>
  <c r="H64" i="19" s="1"/>
  <c r="N48" i="17"/>
  <c r="N61" i="17"/>
  <c r="F29" i="17"/>
  <c r="F94" i="17"/>
  <c r="N14" i="17"/>
  <c r="F30" i="17"/>
  <c r="F15" i="17"/>
  <c r="F77" i="17"/>
  <c r="N13" i="17"/>
  <c r="N78" i="17"/>
  <c r="Q78" i="17" s="1"/>
  <c r="M62" i="19" s="1"/>
  <c r="F63" i="17"/>
  <c r="N65" i="17"/>
  <c r="F13" i="17"/>
  <c r="N31" i="17"/>
  <c r="N77" i="17"/>
  <c r="N15" i="17"/>
  <c r="N46" i="17"/>
  <c r="Q46" i="17" s="1"/>
  <c r="I62" i="19" s="1"/>
  <c r="F79" i="17"/>
  <c r="I79" i="17" s="1"/>
  <c r="L63" i="19" s="1"/>
  <c r="F45" i="17"/>
  <c r="N17" i="17"/>
  <c r="F61" i="17"/>
  <c r="F93" i="17"/>
  <c r="N49" i="17"/>
  <c r="F97" i="17"/>
  <c r="N47" i="17"/>
  <c r="Q47" i="17" s="1"/>
  <c r="I63" i="19" s="1"/>
  <c r="N30" i="17"/>
  <c r="Q30" i="17" s="1"/>
  <c r="G62" i="19" s="1"/>
  <c r="N62" i="17"/>
  <c r="N81" i="17"/>
  <c r="F14" i="17"/>
  <c r="F33" i="17"/>
  <c r="I33" i="17" s="1"/>
  <c r="F65" i="19" s="1"/>
  <c r="N63" i="17"/>
  <c r="Q63" i="17" s="1"/>
  <c r="K63" i="19" s="1"/>
  <c r="F46" i="17"/>
  <c r="I46" i="17" s="1"/>
  <c r="H62" i="19" s="1"/>
  <c r="F47" i="17"/>
  <c r="I47" i="17" s="1"/>
  <c r="H63" i="19" s="1"/>
  <c r="N79" i="17"/>
  <c r="F88" i="17"/>
  <c r="F56" i="17"/>
  <c r="N56" i="17"/>
  <c r="F40" i="17"/>
  <c r="N8" i="17"/>
  <c r="F24" i="17"/>
  <c r="N72" i="17"/>
  <c r="F8" i="17"/>
  <c r="N24" i="17"/>
  <c r="F72" i="17"/>
  <c r="N40" i="17"/>
  <c r="N25" i="17"/>
  <c r="F73" i="17"/>
  <c r="F9" i="17"/>
  <c r="I9" i="17" s="1"/>
  <c r="D57" i="19" s="1"/>
  <c r="R3" i="23" s="1"/>
  <c r="R13" i="23" s="1"/>
  <c r="R23" i="23" s="1"/>
  <c r="R33" i="23" s="1"/>
  <c r="R43" i="23" s="1"/>
  <c r="N41" i="17"/>
  <c r="N9" i="17"/>
  <c r="Q9" i="17" s="1"/>
  <c r="E57" i="19" s="1"/>
  <c r="N57" i="17"/>
  <c r="N73" i="17"/>
  <c r="F57" i="17"/>
  <c r="F89" i="17"/>
  <c r="F41" i="17"/>
  <c r="F25" i="17"/>
  <c r="F74" i="17"/>
  <c r="I74" i="17" s="1"/>
  <c r="L58" i="19" s="1"/>
  <c r="F58" i="17"/>
  <c r="I58" i="17" s="1"/>
  <c r="J58" i="19" s="1"/>
  <c r="N42" i="17"/>
  <c r="F10" i="17"/>
  <c r="I10" i="17" s="1"/>
  <c r="D58" i="19" s="1"/>
  <c r="R4" i="23" s="1"/>
  <c r="R14" i="23" s="1"/>
  <c r="R24" i="23" s="1"/>
  <c r="R34" i="23" s="1"/>
  <c r="R44" i="23" s="1"/>
  <c r="N26" i="17"/>
  <c r="F90" i="17"/>
  <c r="N74" i="17"/>
  <c r="N10" i="17"/>
  <c r="F26" i="17"/>
  <c r="I26" i="17" s="1"/>
  <c r="F58" i="19" s="1"/>
  <c r="F42" i="17"/>
  <c r="I42" i="17" s="1"/>
  <c r="H58" i="19" s="1"/>
  <c r="N58" i="17"/>
  <c r="F43" i="17"/>
  <c r="N59" i="17"/>
  <c r="F27" i="17"/>
  <c r="N27" i="17"/>
  <c r="F59" i="17"/>
  <c r="N11" i="17"/>
  <c r="N75" i="17"/>
  <c r="F11" i="17"/>
  <c r="N43" i="17"/>
  <c r="F75" i="17"/>
  <c r="F91" i="17"/>
  <c r="F76" i="17"/>
  <c r="F44" i="17"/>
  <c r="I44" i="17" s="1"/>
  <c r="H60" i="19" s="1"/>
  <c r="N76" i="17"/>
  <c r="F12" i="17"/>
  <c r="I12" i="17" s="1"/>
  <c r="D60" i="19" s="1"/>
  <c r="R6" i="23" s="1"/>
  <c r="R16" i="23" s="1"/>
  <c r="R26" i="23" s="1"/>
  <c r="R36" i="23" s="1"/>
  <c r="R46" i="23" s="1"/>
  <c r="F60" i="17"/>
  <c r="N44" i="17"/>
  <c r="N60" i="17"/>
  <c r="N12" i="17"/>
  <c r="N28" i="17"/>
  <c r="F92" i="17"/>
  <c r="F28" i="17"/>
  <c r="I28" i="17" s="1"/>
  <c r="F60" i="19" s="1"/>
  <c r="Q57" i="17" l="1"/>
  <c r="K57" i="19" s="1"/>
  <c r="I81" i="17"/>
  <c r="L65" i="19" s="1"/>
  <c r="I60" i="17"/>
  <c r="J60" i="19" s="1"/>
  <c r="Q58" i="17"/>
  <c r="K58" i="19" s="1"/>
  <c r="I45" i="17"/>
  <c r="H61" i="19" s="1"/>
  <c r="R207" i="23" s="1"/>
  <c r="R217" i="23" s="1"/>
  <c r="R227" i="23" s="1"/>
  <c r="R237" i="23" s="1"/>
  <c r="R247" i="23" s="1"/>
  <c r="I63" i="17"/>
  <c r="J63" i="19" s="1"/>
  <c r="R309" i="23" s="1"/>
  <c r="R319" i="23" s="1"/>
  <c r="R329" i="23" s="1"/>
  <c r="R339" i="23" s="1"/>
  <c r="R349" i="23" s="1"/>
  <c r="I29" i="17"/>
  <c r="F61" i="19" s="1"/>
  <c r="R107" i="23" s="1"/>
  <c r="R117" i="23" s="1"/>
  <c r="R127" i="23" s="1"/>
  <c r="R137" i="23" s="1"/>
  <c r="R147" i="23" s="1"/>
  <c r="Q41" i="17"/>
  <c r="I57" i="19" s="1"/>
  <c r="R253" i="23" s="1"/>
  <c r="R263" i="23" s="1"/>
  <c r="R273" i="23" s="1"/>
  <c r="R283" i="23" s="1"/>
  <c r="R293" i="23" s="1"/>
  <c r="Q33" i="17"/>
  <c r="G65" i="19" s="1"/>
  <c r="R161" i="23" s="1"/>
  <c r="R171" i="23" s="1"/>
  <c r="R181" i="23" s="1"/>
  <c r="R191" i="23" s="1"/>
  <c r="R201" i="23" s="1"/>
  <c r="I31" i="17"/>
  <c r="F63" i="19" s="1"/>
  <c r="R109" i="23" s="1"/>
  <c r="R119" i="23" s="1"/>
  <c r="R129" i="23" s="1"/>
  <c r="R139" i="23" s="1"/>
  <c r="R149" i="23" s="1"/>
  <c r="Q42" i="17"/>
  <c r="I58" i="19" s="1"/>
  <c r="R254" i="23" s="1"/>
  <c r="R264" i="23" s="1"/>
  <c r="R274" i="23" s="1"/>
  <c r="R284" i="23" s="1"/>
  <c r="R294" i="23" s="1"/>
  <c r="Q48" i="17"/>
  <c r="I64" i="19" s="1"/>
  <c r="R260" i="23" s="1"/>
  <c r="R270" i="23" s="1"/>
  <c r="R280" i="23" s="1"/>
  <c r="R290" i="23" s="1"/>
  <c r="R300" i="23" s="1"/>
  <c r="Q75" i="17"/>
  <c r="M59" i="19" s="1"/>
  <c r="R455" i="23" s="1"/>
  <c r="R465" i="23" s="1"/>
  <c r="R475" i="23" s="1"/>
  <c r="R485" i="23" s="1"/>
  <c r="R495" i="23" s="1"/>
  <c r="I41" i="17"/>
  <c r="H57" i="19" s="1"/>
  <c r="R203" i="23" s="1"/>
  <c r="R213" i="23" s="1"/>
  <c r="R223" i="23" s="1"/>
  <c r="R233" i="23" s="1"/>
  <c r="R243" i="23" s="1"/>
  <c r="Q49" i="17"/>
  <c r="I65" i="19" s="1"/>
  <c r="R261" i="23" s="1"/>
  <c r="R271" i="23" s="1"/>
  <c r="R281" i="23" s="1"/>
  <c r="R291" i="23" s="1"/>
  <c r="R301" i="23" s="1"/>
  <c r="Q62" i="17"/>
  <c r="K62" i="19" s="1"/>
  <c r="R358" i="23" s="1"/>
  <c r="R368" i="23" s="1"/>
  <c r="R378" i="23" s="1"/>
  <c r="R388" i="23" s="1"/>
  <c r="R398" i="23" s="1"/>
  <c r="Q79" i="17"/>
  <c r="M63" i="19" s="1"/>
  <c r="R459" i="23" s="1"/>
  <c r="R469" i="23" s="1"/>
  <c r="R479" i="23" s="1"/>
  <c r="R489" i="23" s="1"/>
  <c r="R499" i="23" s="1"/>
  <c r="Q76" i="17"/>
  <c r="M60" i="19" s="1"/>
  <c r="M76" i="19" s="1"/>
  <c r="S456" i="23" s="1"/>
  <c r="S466" i="23" s="1"/>
  <c r="S476" i="23" s="1"/>
  <c r="S486" i="23" s="1"/>
  <c r="S496" i="23" s="1"/>
  <c r="I11" i="17"/>
  <c r="D59" i="19" s="1"/>
  <c r="R5" i="23" s="1"/>
  <c r="R15" i="23" s="1"/>
  <c r="R25" i="23" s="1"/>
  <c r="R35" i="23" s="1"/>
  <c r="R45" i="23" s="1"/>
  <c r="I95" i="17"/>
  <c r="N63" i="19" s="1"/>
  <c r="R509" i="23" s="1"/>
  <c r="R519" i="23" s="1"/>
  <c r="R529" i="23" s="1"/>
  <c r="R539" i="23" s="1"/>
  <c r="R549" i="23" s="1"/>
  <c r="Q13" i="17"/>
  <c r="E61" i="19" s="1"/>
  <c r="R57" i="23" s="1"/>
  <c r="R67" i="23" s="1"/>
  <c r="R77" i="23" s="1"/>
  <c r="R87" i="23" s="1"/>
  <c r="R97" i="23" s="1"/>
  <c r="I14" i="17"/>
  <c r="D62" i="19" s="1"/>
  <c r="R8" i="23" s="1"/>
  <c r="R18" i="23" s="1"/>
  <c r="R28" i="23" s="1"/>
  <c r="R38" i="23" s="1"/>
  <c r="R48" i="23" s="1"/>
  <c r="I61" i="17"/>
  <c r="J61" i="19" s="1"/>
  <c r="R307" i="23" s="1"/>
  <c r="R317" i="23" s="1"/>
  <c r="R327" i="23" s="1"/>
  <c r="R337" i="23" s="1"/>
  <c r="R347" i="23" s="1"/>
  <c r="M66" i="17"/>
  <c r="Q27" i="17"/>
  <c r="G59" i="19" s="1"/>
  <c r="R155" i="23" s="1"/>
  <c r="R165" i="23" s="1"/>
  <c r="R175" i="23" s="1"/>
  <c r="R185" i="23" s="1"/>
  <c r="R195" i="23" s="1"/>
  <c r="Q43" i="17"/>
  <c r="I59" i="19" s="1"/>
  <c r="R255" i="23" s="1"/>
  <c r="R265" i="23" s="1"/>
  <c r="R275" i="23" s="1"/>
  <c r="R285" i="23" s="1"/>
  <c r="R295" i="23" s="1"/>
  <c r="Q73" i="17"/>
  <c r="M57" i="19" s="1"/>
  <c r="M73" i="19" s="1"/>
  <c r="S453" i="23" s="1"/>
  <c r="S463" i="23" s="1"/>
  <c r="S473" i="23" s="1"/>
  <c r="S483" i="23" s="1"/>
  <c r="S493" i="23" s="1"/>
  <c r="Q29" i="17"/>
  <c r="G61" i="19" s="1"/>
  <c r="R157" i="23" s="1"/>
  <c r="R167" i="23" s="1"/>
  <c r="R177" i="23" s="1"/>
  <c r="R187" i="23" s="1"/>
  <c r="R197" i="23" s="1"/>
  <c r="Q28" i="17"/>
  <c r="G60" i="19" s="1"/>
  <c r="R156" i="23" s="1"/>
  <c r="R166" i="23" s="1"/>
  <c r="R176" i="23" s="1"/>
  <c r="R186" i="23" s="1"/>
  <c r="R196" i="23" s="1"/>
  <c r="I73" i="17"/>
  <c r="L57" i="19" s="1"/>
  <c r="L73" i="19" s="1"/>
  <c r="S403" i="23" s="1"/>
  <c r="S413" i="23" s="1"/>
  <c r="S423" i="23" s="1"/>
  <c r="S433" i="23" s="1"/>
  <c r="S443" i="23" s="1"/>
  <c r="I15" i="17"/>
  <c r="D63" i="19" s="1"/>
  <c r="R9" i="23" s="1"/>
  <c r="R19" i="23" s="1"/>
  <c r="R29" i="23" s="1"/>
  <c r="R39" i="23" s="1"/>
  <c r="R49" i="23" s="1"/>
  <c r="I32" i="17"/>
  <c r="F64" i="19" s="1"/>
  <c r="R110" i="23" s="1"/>
  <c r="R120" i="23" s="1"/>
  <c r="R130" i="23" s="1"/>
  <c r="R140" i="23" s="1"/>
  <c r="R150" i="23" s="1"/>
  <c r="I91" i="17"/>
  <c r="N59" i="19" s="1"/>
  <c r="I27" i="17"/>
  <c r="F59" i="19" s="1"/>
  <c r="R105" i="23" s="1"/>
  <c r="R115" i="23" s="1"/>
  <c r="R125" i="23" s="1"/>
  <c r="R135" i="23" s="1"/>
  <c r="R145" i="23" s="1"/>
  <c r="I93" i="17"/>
  <c r="N61" i="19" s="1"/>
  <c r="R507" i="23" s="1"/>
  <c r="R517" i="23" s="1"/>
  <c r="R527" i="23" s="1"/>
  <c r="R537" i="23" s="1"/>
  <c r="R547" i="23" s="1"/>
  <c r="Q32" i="17"/>
  <c r="G64" i="19" s="1"/>
  <c r="R160" i="23" s="1"/>
  <c r="R170" i="23" s="1"/>
  <c r="R180" i="23" s="1"/>
  <c r="R190" i="23" s="1"/>
  <c r="R200" i="23" s="1"/>
  <c r="I16" i="17"/>
  <c r="D64" i="19" s="1"/>
  <c r="R10" i="23" s="1"/>
  <c r="R20" i="23" s="1"/>
  <c r="R30" i="23" s="1"/>
  <c r="R40" i="23" s="1"/>
  <c r="R50" i="23" s="1"/>
  <c r="I75" i="17"/>
  <c r="L59" i="19" s="1"/>
  <c r="R405" i="23" s="1"/>
  <c r="R415" i="23" s="1"/>
  <c r="R425" i="23" s="1"/>
  <c r="R435" i="23" s="1"/>
  <c r="R445" i="23" s="1"/>
  <c r="Q59" i="17"/>
  <c r="K59" i="19" s="1"/>
  <c r="I94" i="17"/>
  <c r="N62" i="19" s="1"/>
  <c r="I78" i="17"/>
  <c r="L62" i="19" s="1"/>
  <c r="R408" i="23" s="1"/>
  <c r="R418" i="23" s="1"/>
  <c r="R428" i="23" s="1"/>
  <c r="R438" i="23" s="1"/>
  <c r="R448" i="23" s="1"/>
  <c r="Q61" i="17"/>
  <c r="K61" i="19" s="1"/>
  <c r="R357" i="23" s="1"/>
  <c r="R367" i="23" s="1"/>
  <c r="R377" i="23" s="1"/>
  <c r="R387" i="23" s="1"/>
  <c r="R397" i="23" s="1"/>
  <c r="Q11" i="17"/>
  <c r="E59" i="19" s="1"/>
  <c r="R55" i="23" s="1"/>
  <c r="R65" i="23" s="1"/>
  <c r="R75" i="23" s="1"/>
  <c r="R85" i="23" s="1"/>
  <c r="R95" i="23" s="1"/>
  <c r="E34" i="17"/>
  <c r="I92" i="17"/>
  <c r="N60" i="19" s="1"/>
  <c r="N76" i="19" s="1"/>
  <c r="S506" i="23" s="1"/>
  <c r="S516" i="23" s="1"/>
  <c r="S526" i="23" s="1"/>
  <c r="S536" i="23" s="1"/>
  <c r="S546" i="23" s="1"/>
  <c r="Q10" i="17"/>
  <c r="E58" i="19" s="1"/>
  <c r="R54" i="23" s="1"/>
  <c r="R64" i="23" s="1"/>
  <c r="R74" i="23" s="1"/>
  <c r="R84" i="23" s="1"/>
  <c r="R94" i="23" s="1"/>
  <c r="M34" i="17"/>
  <c r="Q77" i="17"/>
  <c r="M61" i="19" s="1"/>
  <c r="M50" i="17"/>
  <c r="Q12" i="17"/>
  <c r="E60" i="19" s="1"/>
  <c r="R56" i="23" s="1"/>
  <c r="R66" i="23" s="1"/>
  <c r="R76" i="23" s="1"/>
  <c r="R86" i="23" s="1"/>
  <c r="R96" i="23" s="1"/>
  <c r="I90" i="17"/>
  <c r="N58" i="19" s="1"/>
  <c r="N74" i="19" s="1"/>
  <c r="S504" i="23" s="1"/>
  <c r="S514" i="23" s="1"/>
  <c r="S524" i="23" s="1"/>
  <c r="S534" i="23" s="1"/>
  <c r="S544" i="23" s="1"/>
  <c r="I89" i="17"/>
  <c r="N57" i="19" s="1"/>
  <c r="R503" i="23" s="1"/>
  <c r="R513" i="23" s="1"/>
  <c r="R523" i="23" s="1"/>
  <c r="R533" i="23" s="1"/>
  <c r="R543" i="23" s="1"/>
  <c r="Q25" i="17"/>
  <c r="G57" i="19" s="1"/>
  <c r="R153" i="23" s="1"/>
  <c r="R163" i="23" s="1"/>
  <c r="R173" i="23" s="1"/>
  <c r="R183" i="23" s="1"/>
  <c r="R193" i="23" s="1"/>
  <c r="Q31" i="17"/>
  <c r="G63" i="19" s="1"/>
  <c r="R159" i="23" s="1"/>
  <c r="R169" i="23" s="1"/>
  <c r="R179" i="23" s="1"/>
  <c r="R189" i="23" s="1"/>
  <c r="R199" i="23" s="1"/>
  <c r="I30" i="17"/>
  <c r="F62" i="19" s="1"/>
  <c r="R108" i="23" s="1"/>
  <c r="R118" i="23" s="1"/>
  <c r="R128" i="23" s="1"/>
  <c r="R138" i="23" s="1"/>
  <c r="R148" i="23" s="1"/>
  <c r="I80" i="17"/>
  <c r="L64" i="19" s="1"/>
  <c r="R410" i="23" s="1"/>
  <c r="R420" i="23" s="1"/>
  <c r="R430" i="23" s="1"/>
  <c r="R440" i="23" s="1"/>
  <c r="R450" i="23" s="1"/>
  <c r="E82" i="17"/>
  <c r="I97" i="17"/>
  <c r="N65" i="19" s="1"/>
  <c r="R511" i="23" s="1"/>
  <c r="R521" i="23" s="1"/>
  <c r="R531" i="23" s="1"/>
  <c r="R541" i="23" s="1"/>
  <c r="R551" i="23" s="1"/>
  <c r="I77" i="17"/>
  <c r="L61" i="19" s="1"/>
  <c r="R407" i="23" s="1"/>
  <c r="R417" i="23" s="1"/>
  <c r="R427" i="23" s="1"/>
  <c r="R437" i="23" s="1"/>
  <c r="R447" i="23" s="1"/>
  <c r="I17" i="17"/>
  <c r="D65" i="19" s="1"/>
  <c r="R11" i="23" s="1"/>
  <c r="R21" i="23" s="1"/>
  <c r="R31" i="23" s="1"/>
  <c r="R41" i="23" s="1"/>
  <c r="R51" i="23" s="1"/>
  <c r="Q74" i="17"/>
  <c r="M58" i="19" s="1"/>
  <c r="R454" i="23" s="1"/>
  <c r="R464" i="23" s="1"/>
  <c r="R474" i="23" s="1"/>
  <c r="R484" i="23" s="1"/>
  <c r="R494" i="23" s="1"/>
  <c r="Q26" i="17"/>
  <c r="G58" i="19" s="1"/>
  <c r="R154" i="23" s="1"/>
  <c r="R164" i="23" s="1"/>
  <c r="R174" i="23" s="1"/>
  <c r="R184" i="23" s="1"/>
  <c r="R194" i="23" s="1"/>
  <c r="I57" i="17"/>
  <c r="J57" i="19" s="1"/>
  <c r="R303" i="23" s="1"/>
  <c r="R313" i="23" s="1"/>
  <c r="R323" i="23" s="1"/>
  <c r="R333" i="23" s="1"/>
  <c r="R343" i="23" s="1"/>
  <c r="I13" i="17"/>
  <c r="D61" i="19" s="1"/>
  <c r="R7" i="23" s="1"/>
  <c r="R17" i="23" s="1"/>
  <c r="R27" i="23" s="1"/>
  <c r="R37" i="23" s="1"/>
  <c r="R47" i="23" s="1"/>
  <c r="Q14" i="17"/>
  <c r="E62" i="19" s="1"/>
  <c r="Q64" i="17"/>
  <c r="K64" i="19" s="1"/>
  <c r="R360" i="23" s="1"/>
  <c r="R370" i="23" s="1"/>
  <c r="R380" i="23" s="1"/>
  <c r="R390" i="23" s="1"/>
  <c r="R400" i="23" s="1"/>
  <c r="Q16" i="17"/>
  <c r="E64" i="19" s="1"/>
  <c r="R60" i="23" s="1"/>
  <c r="R70" i="23" s="1"/>
  <c r="R80" i="23" s="1"/>
  <c r="R90" i="23" s="1"/>
  <c r="R100" i="23" s="1"/>
  <c r="I96" i="17"/>
  <c r="N64" i="19" s="1"/>
  <c r="E18" i="17"/>
  <c r="E66" i="17"/>
  <c r="M18" i="17"/>
  <c r="M82" i="17"/>
  <c r="I59" i="17"/>
  <c r="J59" i="19" s="1"/>
  <c r="R305" i="23" s="1"/>
  <c r="R315" i="23" s="1"/>
  <c r="R325" i="23" s="1"/>
  <c r="R335" i="23" s="1"/>
  <c r="R345" i="23" s="1"/>
  <c r="I25" i="17"/>
  <c r="F57" i="19" s="1"/>
  <c r="R103" i="23" s="1"/>
  <c r="R113" i="23" s="1"/>
  <c r="R123" i="23" s="1"/>
  <c r="R133" i="23" s="1"/>
  <c r="R143" i="23" s="1"/>
  <c r="Q15" i="17"/>
  <c r="E63" i="19" s="1"/>
  <c r="R59" i="23" s="1"/>
  <c r="R69" i="23" s="1"/>
  <c r="R79" i="23" s="1"/>
  <c r="R89" i="23" s="1"/>
  <c r="R99" i="23" s="1"/>
  <c r="I76" i="17"/>
  <c r="L60" i="19" s="1"/>
  <c r="R406" i="23" s="1"/>
  <c r="R416" i="23" s="1"/>
  <c r="R426" i="23" s="1"/>
  <c r="R436" i="23" s="1"/>
  <c r="R446" i="23" s="1"/>
  <c r="Q45" i="17"/>
  <c r="I61" i="19" s="1"/>
  <c r="R257" i="23" s="1"/>
  <c r="R267" i="23" s="1"/>
  <c r="R277" i="23" s="1"/>
  <c r="R287" i="23" s="1"/>
  <c r="R297" i="23" s="1"/>
  <c r="Q60" i="17"/>
  <c r="K60" i="19" s="1"/>
  <c r="K76" i="19" s="1"/>
  <c r="S356" i="23" s="1"/>
  <c r="S366" i="23" s="1"/>
  <c r="S376" i="23" s="1"/>
  <c r="S386" i="23" s="1"/>
  <c r="S396" i="23" s="1"/>
  <c r="Q44" i="17"/>
  <c r="I60" i="19" s="1"/>
  <c r="R256" i="23" s="1"/>
  <c r="R266" i="23" s="1"/>
  <c r="R276" i="23" s="1"/>
  <c r="R286" i="23" s="1"/>
  <c r="R296" i="23" s="1"/>
  <c r="I43" i="17"/>
  <c r="H59" i="19" s="1"/>
  <c r="R205" i="23" s="1"/>
  <c r="R215" i="23" s="1"/>
  <c r="R225" i="23" s="1"/>
  <c r="R235" i="23" s="1"/>
  <c r="R245" i="23" s="1"/>
  <c r="Q81" i="17"/>
  <c r="M65" i="19" s="1"/>
  <c r="R461" i="23" s="1"/>
  <c r="R471" i="23" s="1"/>
  <c r="R481" i="23" s="1"/>
  <c r="R491" i="23" s="1"/>
  <c r="R501" i="23" s="1"/>
  <c r="Q17" i="17"/>
  <c r="E65" i="19" s="1"/>
  <c r="Q65" i="17"/>
  <c r="K65" i="19" s="1"/>
  <c r="I62" i="17"/>
  <c r="J62" i="19" s="1"/>
  <c r="R308" i="23" s="1"/>
  <c r="R318" i="23" s="1"/>
  <c r="R328" i="23" s="1"/>
  <c r="R338" i="23" s="1"/>
  <c r="R348" i="23" s="1"/>
  <c r="E50" i="17"/>
  <c r="E98" i="17"/>
  <c r="M522" i="23"/>
  <c r="M523" i="23" s="1"/>
  <c r="M524" i="23" s="1"/>
  <c r="M525" i="23" s="1"/>
  <c r="M526" i="23" s="1"/>
  <c r="M527" i="23" s="1"/>
  <c r="M528" i="23" s="1"/>
  <c r="M529" i="23" s="1"/>
  <c r="M530" i="23" s="1"/>
  <c r="M531" i="23" s="1"/>
  <c r="M22" i="23"/>
  <c r="M23" i="23" s="1"/>
  <c r="M24" i="23" s="1"/>
  <c r="M25" i="23" s="1"/>
  <c r="M26" i="23" s="1"/>
  <c r="M27" i="23" s="1"/>
  <c r="M28" i="23" s="1"/>
  <c r="M29" i="23" s="1"/>
  <c r="M30" i="23" s="1"/>
  <c r="M31" i="23" s="1"/>
  <c r="M472" i="23"/>
  <c r="M473" i="23" s="1"/>
  <c r="M474" i="23" s="1"/>
  <c r="M475" i="23" s="1"/>
  <c r="M476" i="23" s="1"/>
  <c r="M477" i="23" s="1"/>
  <c r="M478" i="23" s="1"/>
  <c r="M479" i="23" s="1"/>
  <c r="M480" i="23" s="1"/>
  <c r="M481" i="23" s="1"/>
  <c r="M122" i="23"/>
  <c r="M123" i="23" s="1"/>
  <c r="M124" i="23" s="1"/>
  <c r="M125" i="23" s="1"/>
  <c r="M126" i="23" s="1"/>
  <c r="M127" i="23" s="1"/>
  <c r="M128" i="23" s="1"/>
  <c r="M129" i="23" s="1"/>
  <c r="M130" i="23" s="1"/>
  <c r="M131" i="23" s="1"/>
  <c r="M172" i="23"/>
  <c r="M173" i="23" s="1"/>
  <c r="M174" i="23" s="1"/>
  <c r="M175" i="23" s="1"/>
  <c r="M176" i="23" s="1"/>
  <c r="M177" i="23" s="1"/>
  <c r="M178" i="23" s="1"/>
  <c r="M179" i="23" s="1"/>
  <c r="M180" i="23" s="1"/>
  <c r="M181" i="23" s="1"/>
  <c r="M272" i="23"/>
  <c r="M273" i="23" s="1"/>
  <c r="M274" i="23" s="1"/>
  <c r="M275" i="23" s="1"/>
  <c r="M276" i="23" s="1"/>
  <c r="M277" i="23" s="1"/>
  <c r="M278" i="23" s="1"/>
  <c r="M279" i="23" s="1"/>
  <c r="M280" i="23" s="1"/>
  <c r="M281" i="23" s="1"/>
  <c r="M322" i="23"/>
  <c r="M323" i="23" s="1"/>
  <c r="M324" i="23" s="1"/>
  <c r="M325" i="23" s="1"/>
  <c r="M326" i="23" s="1"/>
  <c r="M327" i="23" s="1"/>
  <c r="M328" i="23" s="1"/>
  <c r="M329" i="23" s="1"/>
  <c r="M330" i="23" s="1"/>
  <c r="M331" i="23" s="1"/>
  <c r="M372" i="23"/>
  <c r="M373" i="23" s="1"/>
  <c r="M374" i="23" s="1"/>
  <c r="M375" i="23" s="1"/>
  <c r="M376" i="23" s="1"/>
  <c r="M377" i="23" s="1"/>
  <c r="M378" i="23" s="1"/>
  <c r="M379" i="23" s="1"/>
  <c r="M380" i="23" s="1"/>
  <c r="M381" i="23" s="1"/>
  <c r="M72" i="23"/>
  <c r="M73" i="23" s="1"/>
  <c r="M74" i="23" s="1"/>
  <c r="M75" i="23" s="1"/>
  <c r="M76" i="23" s="1"/>
  <c r="M77" i="23" s="1"/>
  <c r="M78" i="23" s="1"/>
  <c r="M79" i="23" s="1"/>
  <c r="M80" i="23" s="1"/>
  <c r="M81" i="23" s="1"/>
  <c r="F34" i="17"/>
  <c r="I24" i="17"/>
  <c r="R208" i="23"/>
  <c r="R218" i="23" s="1"/>
  <c r="R228" i="23" s="1"/>
  <c r="R238" i="23" s="1"/>
  <c r="R248" i="23" s="1"/>
  <c r="R210" i="23"/>
  <c r="R220" i="23" s="1"/>
  <c r="R230" i="23" s="1"/>
  <c r="R240" i="23" s="1"/>
  <c r="R250" i="23" s="1"/>
  <c r="R310" i="23"/>
  <c r="R320" i="23" s="1"/>
  <c r="R330" i="23" s="1"/>
  <c r="R340" i="23" s="1"/>
  <c r="R350" i="23" s="1"/>
  <c r="R206" i="23"/>
  <c r="R216" i="23" s="1"/>
  <c r="R226" i="23" s="1"/>
  <c r="R236" i="23" s="1"/>
  <c r="R246" i="23" s="1"/>
  <c r="H76" i="19"/>
  <c r="S206" i="23" s="1"/>
  <c r="S216" i="23" s="1"/>
  <c r="S226" i="23" s="1"/>
  <c r="S236" i="23" s="1"/>
  <c r="S246" i="23" s="1"/>
  <c r="N18" i="17"/>
  <c r="Q8" i="17"/>
  <c r="R359" i="23"/>
  <c r="R369" i="23" s="1"/>
  <c r="R379" i="23" s="1"/>
  <c r="R389" i="23" s="1"/>
  <c r="R399" i="23" s="1"/>
  <c r="F50" i="17"/>
  <c r="I40" i="17"/>
  <c r="R111" i="23"/>
  <c r="R121" i="23" s="1"/>
  <c r="R131" i="23" s="1"/>
  <c r="R141" i="23" s="1"/>
  <c r="R151" i="23" s="1"/>
  <c r="N50" i="17"/>
  <c r="Q40" i="17"/>
  <c r="N66" i="17"/>
  <c r="Q56" i="17"/>
  <c r="F82" i="17"/>
  <c r="I72" i="17"/>
  <c r="F66" i="17"/>
  <c r="I56" i="17"/>
  <c r="R306" i="23"/>
  <c r="R316" i="23" s="1"/>
  <c r="R326" i="23" s="1"/>
  <c r="R336" i="23" s="1"/>
  <c r="R346" i="23" s="1"/>
  <c r="J76" i="19"/>
  <c r="S306" i="23" s="1"/>
  <c r="S316" i="23" s="1"/>
  <c r="S326" i="23" s="1"/>
  <c r="S336" i="23" s="1"/>
  <c r="S346" i="23" s="1"/>
  <c r="R354" i="23"/>
  <c r="R364" i="23" s="1"/>
  <c r="R374" i="23" s="1"/>
  <c r="R384" i="23" s="1"/>
  <c r="R394" i="23" s="1"/>
  <c r="K74" i="19"/>
  <c r="S354" i="23" s="1"/>
  <c r="S364" i="23" s="1"/>
  <c r="S374" i="23" s="1"/>
  <c r="S384" i="23" s="1"/>
  <c r="S394" i="23" s="1"/>
  <c r="K73" i="19"/>
  <c r="S353" i="23" s="1"/>
  <c r="S363" i="23" s="1"/>
  <c r="S373" i="23" s="1"/>
  <c r="S383" i="23" s="1"/>
  <c r="S393" i="23" s="1"/>
  <c r="R353" i="23"/>
  <c r="R363" i="23" s="1"/>
  <c r="R373" i="23" s="1"/>
  <c r="R383" i="23" s="1"/>
  <c r="R393" i="23" s="1"/>
  <c r="N34" i="17"/>
  <c r="Q24" i="17"/>
  <c r="F98" i="17"/>
  <c r="I88" i="17"/>
  <c r="R460" i="23"/>
  <c r="R470" i="23" s="1"/>
  <c r="R480" i="23" s="1"/>
  <c r="R490" i="23" s="1"/>
  <c r="R500" i="23" s="1"/>
  <c r="R458" i="23"/>
  <c r="R468" i="23" s="1"/>
  <c r="R478" i="23" s="1"/>
  <c r="R488" i="23" s="1"/>
  <c r="R498" i="23" s="1"/>
  <c r="R411" i="23"/>
  <c r="R421" i="23" s="1"/>
  <c r="R431" i="23" s="1"/>
  <c r="R441" i="23" s="1"/>
  <c r="R451" i="23" s="1"/>
  <c r="R211" i="23"/>
  <c r="R221" i="23" s="1"/>
  <c r="R231" i="23" s="1"/>
  <c r="R241" i="23" s="1"/>
  <c r="R251" i="23" s="1"/>
  <c r="R204" i="23"/>
  <c r="R214" i="23" s="1"/>
  <c r="R224" i="23" s="1"/>
  <c r="R234" i="23" s="1"/>
  <c r="R244" i="23" s="1"/>
  <c r="H74" i="19"/>
  <c r="S204" i="23" s="1"/>
  <c r="S214" i="23" s="1"/>
  <c r="S224" i="23" s="1"/>
  <c r="S234" i="23" s="1"/>
  <c r="S244" i="23" s="1"/>
  <c r="J74" i="19"/>
  <c r="S304" i="23" s="1"/>
  <c r="S314" i="23" s="1"/>
  <c r="S324" i="23" s="1"/>
  <c r="S334" i="23" s="1"/>
  <c r="S344" i="23" s="1"/>
  <c r="R304" i="23"/>
  <c r="R314" i="23" s="1"/>
  <c r="R324" i="23" s="1"/>
  <c r="R334" i="23" s="1"/>
  <c r="R344" i="23" s="1"/>
  <c r="R53" i="23"/>
  <c r="R63" i="23" s="1"/>
  <c r="R73" i="23" s="1"/>
  <c r="R83" i="23" s="1"/>
  <c r="R93" i="23" s="1"/>
  <c r="E73" i="19"/>
  <c r="S53" i="23" s="1"/>
  <c r="S63" i="23" s="1"/>
  <c r="S73" i="23" s="1"/>
  <c r="S83" i="23" s="1"/>
  <c r="S93" i="23" s="1"/>
  <c r="F18" i="17"/>
  <c r="I8" i="17"/>
  <c r="R158" i="23"/>
  <c r="R168" i="23" s="1"/>
  <c r="R178" i="23" s="1"/>
  <c r="R188" i="23" s="1"/>
  <c r="R198" i="23" s="1"/>
  <c r="R409" i="23"/>
  <c r="R419" i="23" s="1"/>
  <c r="R429" i="23" s="1"/>
  <c r="R439" i="23" s="1"/>
  <c r="R449" i="23" s="1"/>
  <c r="R106" i="23"/>
  <c r="R116" i="23" s="1"/>
  <c r="R126" i="23" s="1"/>
  <c r="R136" i="23" s="1"/>
  <c r="R146" i="23" s="1"/>
  <c r="F76" i="19"/>
  <c r="S106" i="23" s="1"/>
  <c r="S116" i="23" s="1"/>
  <c r="S126" i="23" s="1"/>
  <c r="S136" i="23" s="1"/>
  <c r="S146" i="23" s="1"/>
  <c r="R104" i="23"/>
  <c r="R114" i="23" s="1"/>
  <c r="R124" i="23" s="1"/>
  <c r="R134" i="23" s="1"/>
  <c r="R144" i="23" s="1"/>
  <c r="F74" i="19"/>
  <c r="S104" i="23" s="1"/>
  <c r="S114" i="23" s="1"/>
  <c r="S124" i="23" s="1"/>
  <c r="S134" i="23" s="1"/>
  <c r="S144" i="23" s="1"/>
  <c r="R404" i="23"/>
  <c r="R414" i="23" s="1"/>
  <c r="R424" i="23" s="1"/>
  <c r="R434" i="23" s="1"/>
  <c r="R444" i="23" s="1"/>
  <c r="L74" i="19"/>
  <c r="S404" i="23" s="1"/>
  <c r="S414" i="23" s="1"/>
  <c r="S424" i="23" s="1"/>
  <c r="S434" i="23" s="1"/>
  <c r="S444" i="23" s="1"/>
  <c r="N82" i="17"/>
  <c r="Q72" i="17"/>
  <c r="R209" i="23"/>
  <c r="R219" i="23" s="1"/>
  <c r="R229" i="23" s="1"/>
  <c r="R239" i="23" s="1"/>
  <c r="R249" i="23" s="1"/>
  <c r="R259" i="23"/>
  <c r="R269" i="23" s="1"/>
  <c r="R279" i="23" s="1"/>
  <c r="R289" i="23" s="1"/>
  <c r="R299" i="23" s="1"/>
  <c r="R258" i="23"/>
  <c r="R268" i="23" s="1"/>
  <c r="R278" i="23" s="1"/>
  <c r="R288" i="23" s="1"/>
  <c r="R298" i="23" s="1"/>
  <c r="R311" i="23"/>
  <c r="R321" i="23" s="1"/>
  <c r="R331" i="23" s="1"/>
  <c r="R341" i="23" s="1"/>
  <c r="R351" i="23" s="1"/>
  <c r="I74" i="19" l="1"/>
  <c r="S254" i="23" s="1"/>
  <c r="S264" i="23" s="1"/>
  <c r="S274" i="23" s="1"/>
  <c r="S284" i="23" s="1"/>
  <c r="S294" i="23" s="1"/>
  <c r="I73" i="19"/>
  <c r="S253" i="23" s="1"/>
  <c r="S263" i="23" s="1"/>
  <c r="S273" i="23" s="1"/>
  <c r="S283" i="23" s="1"/>
  <c r="S293" i="23" s="1"/>
  <c r="R456" i="23"/>
  <c r="R466" i="23" s="1"/>
  <c r="R476" i="23" s="1"/>
  <c r="R486" i="23" s="1"/>
  <c r="R496" i="23" s="1"/>
  <c r="H73" i="19"/>
  <c r="S203" i="23" s="1"/>
  <c r="S213" i="23" s="1"/>
  <c r="S223" i="23" s="1"/>
  <c r="S233" i="23" s="1"/>
  <c r="S243" i="23" s="1"/>
  <c r="K75" i="19"/>
  <c r="S355" i="23" s="1"/>
  <c r="S365" i="23" s="1"/>
  <c r="S375" i="23" s="1"/>
  <c r="S385" i="23" s="1"/>
  <c r="S395" i="23" s="1"/>
  <c r="J80" i="19"/>
  <c r="S310" i="23" s="1"/>
  <c r="S320" i="23" s="1"/>
  <c r="S330" i="23" s="1"/>
  <c r="S340" i="23" s="1"/>
  <c r="S350" i="23" s="1"/>
  <c r="H80" i="19"/>
  <c r="S210" i="23" s="1"/>
  <c r="S220" i="23" s="1"/>
  <c r="S230" i="23" s="1"/>
  <c r="S240" i="23" s="1"/>
  <c r="S250" i="23" s="1"/>
  <c r="M75" i="19"/>
  <c r="S455" i="23" s="1"/>
  <c r="S465" i="23" s="1"/>
  <c r="S475" i="23" s="1"/>
  <c r="S485" i="23" s="1"/>
  <c r="S495" i="23" s="1"/>
  <c r="H78" i="19"/>
  <c r="S208" i="23" s="1"/>
  <c r="S218" i="23" s="1"/>
  <c r="S228" i="23" s="1"/>
  <c r="S238" i="23" s="1"/>
  <c r="S248" i="23" s="1"/>
  <c r="I78" i="19"/>
  <c r="S258" i="23" s="1"/>
  <c r="S268" i="23" s="1"/>
  <c r="S278" i="23" s="1"/>
  <c r="S288" i="23" s="1"/>
  <c r="S298" i="23" s="1"/>
  <c r="G78" i="19"/>
  <c r="S158" i="23" s="1"/>
  <c r="S168" i="23" s="1"/>
  <c r="S178" i="23" s="1"/>
  <c r="S188" i="23" s="1"/>
  <c r="S198" i="23" s="1"/>
  <c r="M78" i="19"/>
  <c r="S458" i="23" s="1"/>
  <c r="S468" i="23" s="1"/>
  <c r="S478" i="23" s="1"/>
  <c r="S488" i="23" s="1"/>
  <c r="S498" i="23" s="1"/>
  <c r="R453" i="23"/>
  <c r="R463" i="23" s="1"/>
  <c r="R473" i="23" s="1"/>
  <c r="R483" i="23" s="1"/>
  <c r="R493" i="23" s="1"/>
  <c r="I75" i="19"/>
  <c r="S255" i="23" s="1"/>
  <c r="S265" i="23" s="1"/>
  <c r="S275" i="23" s="1"/>
  <c r="S285" i="23" s="1"/>
  <c r="S295" i="23" s="1"/>
  <c r="K78" i="19"/>
  <c r="S358" i="23" s="1"/>
  <c r="S368" i="23" s="1"/>
  <c r="S378" i="23" s="1"/>
  <c r="S388" i="23" s="1"/>
  <c r="S398" i="23" s="1"/>
  <c r="E78" i="19"/>
  <c r="S58" i="23" s="1"/>
  <c r="S68" i="23" s="1"/>
  <c r="S78" i="23" s="1"/>
  <c r="S88" i="23" s="1"/>
  <c r="S98" i="23" s="1"/>
  <c r="N75" i="19"/>
  <c r="S505" i="23" s="1"/>
  <c r="S515" i="23" s="1"/>
  <c r="S525" i="23" s="1"/>
  <c r="S535" i="23" s="1"/>
  <c r="S545" i="23" s="1"/>
  <c r="N78" i="19"/>
  <c r="S508" i="23" s="1"/>
  <c r="S518" i="23" s="1"/>
  <c r="S528" i="23" s="1"/>
  <c r="S538" i="23" s="1"/>
  <c r="S548" i="23" s="1"/>
  <c r="R403" i="23"/>
  <c r="R413" i="23" s="1"/>
  <c r="R423" i="23" s="1"/>
  <c r="R433" i="23" s="1"/>
  <c r="R443" i="23" s="1"/>
  <c r="G75" i="19"/>
  <c r="S155" i="23" s="1"/>
  <c r="S165" i="23" s="1"/>
  <c r="S175" i="23" s="1"/>
  <c r="S185" i="23" s="1"/>
  <c r="S195" i="23" s="1"/>
  <c r="F80" i="19"/>
  <c r="S110" i="23" s="1"/>
  <c r="S120" i="23" s="1"/>
  <c r="S130" i="23" s="1"/>
  <c r="S140" i="23" s="1"/>
  <c r="S150" i="23" s="1"/>
  <c r="N79" i="19"/>
  <c r="S509" i="23" s="1"/>
  <c r="S519" i="23" s="1"/>
  <c r="S529" i="23" s="1"/>
  <c r="S539" i="23" s="1"/>
  <c r="S549" i="23" s="1"/>
  <c r="I76" i="19"/>
  <c r="S256" i="23" s="1"/>
  <c r="S266" i="23" s="1"/>
  <c r="S276" i="23" s="1"/>
  <c r="S286" i="23" s="1"/>
  <c r="S296" i="23" s="1"/>
  <c r="R356" i="23"/>
  <c r="R366" i="23" s="1"/>
  <c r="R376" i="23" s="1"/>
  <c r="R386" i="23" s="1"/>
  <c r="R396" i="23" s="1"/>
  <c r="J73" i="19"/>
  <c r="S303" i="23" s="1"/>
  <c r="S313" i="23" s="1"/>
  <c r="S323" i="23" s="1"/>
  <c r="S333" i="23" s="1"/>
  <c r="S343" i="23" s="1"/>
  <c r="I79" i="19"/>
  <c r="S259" i="23" s="1"/>
  <c r="S269" i="23" s="1"/>
  <c r="S279" i="23" s="1"/>
  <c r="S289" i="23" s="1"/>
  <c r="S299" i="23" s="1"/>
  <c r="L79" i="19"/>
  <c r="S409" i="23" s="1"/>
  <c r="S419" i="23" s="1"/>
  <c r="S429" i="23" s="1"/>
  <c r="S439" i="23" s="1"/>
  <c r="S449" i="23" s="1"/>
  <c r="F78" i="19"/>
  <c r="S108" i="23" s="1"/>
  <c r="S118" i="23" s="1"/>
  <c r="S128" i="23" s="1"/>
  <c r="S138" i="23" s="1"/>
  <c r="S148" i="23" s="1"/>
  <c r="F79" i="19"/>
  <c r="S109" i="23" s="1"/>
  <c r="S119" i="23" s="1"/>
  <c r="S129" i="23" s="1"/>
  <c r="S139" i="23" s="1"/>
  <c r="S149" i="23" s="1"/>
  <c r="J79" i="19"/>
  <c r="S309" i="23" s="1"/>
  <c r="S319" i="23" s="1"/>
  <c r="S329" i="23" s="1"/>
  <c r="S339" i="23" s="1"/>
  <c r="S349" i="23" s="1"/>
  <c r="R355" i="23"/>
  <c r="R365" i="23" s="1"/>
  <c r="R375" i="23" s="1"/>
  <c r="R385" i="23" s="1"/>
  <c r="R395" i="23" s="1"/>
  <c r="G76" i="19"/>
  <c r="S156" i="23" s="1"/>
  <c r="S166" i="23" s="1"/>
  <c r="S176" i="23" s="1"/>
  <c r="S186" i="23" s="1"/>
  <c r="S196" i="23" s="1"/>
  <c r="I80" i="19"/>
  <c r="S260" i="23" s="1"/>
  <c r="S270" i="23" s="1"/>
  <c r="S280" i="23" s="1"/>
  <c r="S290" i="23" s="1"/>
  <c r="S300" i="23" s="1"/>
  <c r="H79" i="19"/>
  <c r="S209" i="23" s="1"/>
  <c r="S219" i="23" s="1"/>
  <c r="S229" i="23" s="1"/>
  <c r="S239" i="23" s="1"/>
  <c r="S249" i="23" s="1"/>
  <c r="L75" i="19"/>
  <c r="S405" i="23" s="1"/>
  <c r="S415" i="23" s="1"/>
  <c r="S425" i="23" s="1"/>
  <c r="S435" i="23" s="1"/>
  <c r="S445" i="23" s="1"/>
  <c r="N80" i="19"/>
  <c r="S510" i="23" s="1"/>
  <c r="S520" i="23" s="1"/>
  <c r="S530" i="23" s="1"/>
  <c r="S540" i="23" s="1"/>
  <c r="S550" i="23" s="1"/>
  <c r="M80" i="19"/>
  <c r="S460" i="23" s="1"/>
  <c r="S470" i="23" s="1"/>
  <c r="S480" i="23" s="1"/>
  <c r="S490" i="23" s="1"/>
  <c r="S500" i="23" s="1"/>
  <c r="R505" i="23"/>
  <c r="R515" i="23" s="1"/>
  <c r="R525" i="23" s="1"/>
  <c r="R535" i="23" s="1"/>
  <c r="R545" i="23" s="1"/>
  <c r="N81" i="19"/>
  <c r="S511" i="23" s="1"/>
  <c r="S521" i="23" s="1"/>
  <c r="S531" i="23" s="1"/>
  <c r="S541" i="23" s="1"/>
  <c r="S551" i="23" s="1"/>
  <c r="M79" i="19"/>
  <c r="S459" i="23" s="1"/>
  <c r="S469" i="23" s="1"/>
  <c r="S479" i="23" s="1"/>
  <c r="S489" i="23" s="1"/>
  <c r="S499" i="23" s="1"/>
  <c r="K79" i="19"/>
  <c r="S359" i="23" s="1"/>
  <c r="S369" i="23" s="1"/>
  <c r="S379" i="23" s="1"/>
  <c r="S389" i="23" s="1"/>
  <c r="S399" i="23" s="1"/>
  <c r="F75" i="19"/>
  <c r="S105" i="23" s="1"/>
  <c r="S115" i="23" s="1"/>
  <c r="S125" i="23" s="1"/>
  <c r="S135" i="23" s="1"/>
  <c r="S145" i="23" s="1"/>
  <c r="G80" i="19"/>
  <c r="S160" i="23" s="1"/>
  <c r="S170" i="23" s="1"/>
  <c r="S180" i="23" s="1"/>
  <c r="S190" i="23" s="1"/>
  <c r="S200" i="23" s="1"/>
  <c r="R508" i="23"/>
  <c r="R518" i="23" s="1"/>
  <c r="R528" i="23" s="1"/>
  <c r="R538" i="23" s="1"/>
  <c r="R548" i="23" s="1"/>
  <c r="R506" i="23"/>
  <c r="R516" i="23" s="1"/>
  <c r="R526" i="23" s="1"/>
  <c r="R536" i="23" s="1"/>
  <c r="R546" i="23" s="1"/>
  <c r="R510" i="23"/>
  <c r="R520" i="23" s="1"/>
  <c r="R530" i="23" s="1"/>
  <c r="R540" i="23" s="1"/>
  <c r="R550" i="23" s="1"/>
  <c r="K81" i="19"/>
  <c r="S361" i="23" s="1"/>
  <c r="S371" i="23" s="1"/>
  <c r="S381" i="23" s="1"/>
  <c r="S391" i="23" s="1"/>
  <c r="S401" i="23" s="1"/>
  <c r="E75" i="19"/>
  <c r="S55" i="23" s="1"/>
  <c r="S65" i="23" s="1"/>
  <c r="S75" i="23" s="1"/>
  <c r="S85" i="23" s="1"/>
  <c r="S95" i="23" s="1"/>
  <c r="L78" i="19"/>
  <c r="S408" i="23" s="1"/>
  <c r="S418" i="23" s="1"/>
  <c r="S428" i="23" s="1"/>
  <c r="S438" i="23" s="1"/>
  <c r="S448" i="23" s="1"/>
  <c r="L81" i="19"/>
  <c r="S411" i="23" s="1"/>
  <c r="S421" i="23" s="1"/>
  <c r="S431" i="23" s="1"/>
  <c r="S441" i="23" s="1"/>
  <c r="S451" i="23" s="1"/>
  <c r="E80" i="19"/>
  <c r="S60" i="23" s="1"/>
  <c r="S70" i="23" s="1"/>
  <c r="S80" i="23" s="1"/>
  <c r="S90" i="23" s="1"/>
  <c r="S100" i="23" s="1"/>
  <c r="E81" i="19"/>
  <c r="S61" i="23" s="1"/>
  <c r="S71" i="23" s="1"/>
  <c r="S81" i="23" s="1"/>
  <c r="S91" i="23" s="1"/>
  <c r="S101" i="23" s="1"/>
  <c r="K80" i="19"/>
  <c r="S360" i="23" s="1"/>
  <c r="S370" i="23" s="1"/>
  <c r="S380" i="23" s="1"/>
  <c r="S390" i="23" s="1"/>
  <c r="S400" i="23" s="1"/>
  <c r="E76" i="19"/>
  <c r="S56" i="23" s="1"/>
  <c r="S66" i="23" s="1"/>
  <c r="S76" i="23" s="1"/>
  <c r="S86" i="23" s="1"/>
  <c r="S96" i="23" s="1"/>
  <c r="L76" i="19"/>
  <c r="S406" i="23" s="1"/>
  <c r="S416" i="23" s="1"/>
  <c r="S426" i="23" s="1"/>
  <c r="S436" i="23" s="1"/>
  <c r="S446" i="23" s="1"/>
  <c r="J78" i="19"/>
  <c r="S308" i="23" s="1"/>
  <c r="S318" i="23" s="1"/>
  <c r="S328" i="23" s="1"/>
  <c r="S338" i="23" s="1"/>
  <c r="S348" i="23" s="1"/>
  <c r="G73" i="19"/>
  <c r="S153" i="23" s="1"/>
  <c r="S163" i="23" s="1"/>
  <c r="S173" i="23" s="1"/>
  <c r="S183" i="23" s="1"/>
  <c r="S193" i="23" s="1"/>
  <c r="G81" i="19"/>
  <c r="S161" i="23" s="1"/>
  <c r="S171" i="23" s="1"/>
  <c r="S181" i="23" s="1"/>
  <c r="S191" i="23" s="1"/>
  <c r="S201" i="23" s="1"/>
  <c r="L77" i="19"/>
  <c r="S407" i="23" s="1"/>
  <c r="S417" i="23" s="1"/>
  <c r="S427" i="23" s="1"/>
  <c r="S437" i="23" s="1"/>
  <c r="S447" i="23" s="1"/>
  <c r="R61" i="23"/>
  <c r="R71" i="23" s="1"/>
  <c r="R81" i="23" s="1"/>
  <c r="R91" i="23" s="1"/>
  <c r="R101" i="23" s="1"/>
  <c r="R504" i="23"/>
  <c r="R514" i="23" s="1"/>
  <c r="R524" i="23" s="1"/>
  <c r="R534" i="23" s="1"/>
  <c r="R544" i="23" s="1"/>
  <c r="F73" i="19"/>
  <c r="S103" i="23" s="1"/>
  <c r="S113" i="23" s="1"/>
  <c r="S123" i="23" s="1"/>
  <c r="S133" i="23" s="1"/>
  <c r="S143" i="23" s="1"/>
  <c r="I81" i="19"/>
  <c r="S261" i="23" s="1"/>
  <c r="S271" i="23" s="1"/>
  <c r="S281" i="23" s="1"/>
  <c r="S291" i="23" s="1"/>
  <c r="S301" i="23" s="1"/>
  <c r="J75" i="19"/>
  <c r="S305" i="23" s="1"/>
  <c r="S315" i="23" s="1"/>
  <c r="S325" i="23" s="1"/>
  <c r="S335" i="23" s="1"/>
  <c r="S345" i="23" s="1"/>
  <c r="M77" i="19"/>
  <c r="S457" i="23" s="1"/>
  <c r="S467" i="23" s="1"/>
  <c r="S477" i="23" s="1"/>
  <c r="S487" i="23" s="1"/>
  <c r="S497" i="23" s="1"/>
  <c r="J81" i="19"/>
  <c r="S311" i="23" s="1"/>
  <c r="S321" i="23" s="1"/>
  <c r="S331" i="23" s="1"/>
  <c r="S341" i="23" s="1"/>
  <c r="S351" i="23" s="1"/>
  <c r="M81" i="19"/>
  <c r="S461" i="23" s="1"/>
  <c r="S471" i="23" s="1"/>
  <c r="S481" i="23" s="1"/>
  <c r="S491" i="23" s="1"/>
  <c r="S501" i="23" s="1"/>
  <c r="R361" i="23"/>
  <c r="R371" i="23" s="1"/>
  <c r="R381" i="23" s="1"/>
  <c r="R391" i="23" s="1"/>
  <c r="R401" i="23" s="1"/>
  <c r="E79" i="19"/>
  <c r="S59" i="23" s="1"/>
  <c r="S69" i="23" s="1"/>
  <c r="S79" i="23" s="1"/>
  <c r="S89" i="23" s="1"/>
  <c r="S99" i="23" s="1"/>
  <c r="N73" i="19"/>
  <c r="S503" i="23" s="1"/>
  <c r="S513" i="23" s="1"/>
  <c r="S523" i="23" s="1"/>
  <c r="S533" i="23" s="1"/>
  <c r="S543" i="23" s="1"/>
  <c r="H81" i="19"/>
  <c r="S211" i="23" s="1"/>
  <c r="S221" i="23" s="1"/>
  <c r="S231" i="23" s="1"/>
  <c r="S241" i="23" s="1"/>
  <c r="S251" i="23" s="1"/>
  <c r="F81" i="19"/>
  <c r="S111" i="23" s="1"/>
  <c r="S121" i="23" s="1"/>
  <c r="S131" i="23" s="1"/>
  <c r="S141" i="23" s="1"/>
  <c r="S151" i="23" s="1"/>
  <c r="K77" i="19"/>
  <c r="S357" i="23" s="1"/>
  <c r="S367" i="23" s="1"/>
  <c r="S377" i="23" s="1"/>
  <c r="S387" i="23" s="1"/>
  <c r="S397" i="23" s="1"/>
  <c r="R457" i="23"/>
  <c r="R467" i="23" s="1"/>
  <c r="R477" i="23" s="1"/>
  <c r="R487" i="23" s="1"/>
  <c r="R497" i="23" s="1"/>
  <c r="H75" i="19"/>
  <c r="S205" i="23" s="1"/>
  <c r="S215" i="23" s="1"/>
  <c r="S225" i="23" s="1"/>
  <c r="S235" i="23" s="1"/>
  <c r="S245" i="23" s="1"/>
  <c r="F77" i="19"/>
  <c r="S107" i="23" s="1"/>
  <c r="S117" i="23" s="1"/>
  <c r="S127" i="23" s="1"/>
  <c r="S137" i="23" s="1"/>
  <c r="S147" i="23" s="1"/>
  <c r="G74" i="19"/>
  <c r="S154" i="23" s="1"/>
  <c r="S164" i="23" s="1"/>
  <c r="S174" i="23" s="1"/>
  <c r="S184" i="23" s="1"/>
  <c r="S194" i="23" s="1"/>
  <c r="H77" i="19"/>
  <c r="S207" i="23" s="1"/>
  <c r="S217" i="23" s="1"/>
  <c r="S227" i="23" s="1"/>
  <c r="S237" i="23" s="1"/>
  <c r="S247" i="23" s="1"/>
  <c r="L80" i="19"/>
  <c r="S410" i="23" s="1"/>
  <c r="S420" i="23" s="1"/>
  <c r="S430" i="23" s="1"/>
  <c r="S440" i="23" s="1"/>
  <c r="S450" i="23" s="1"/>
  <c r="N77" i="19"/>
  <c r="S507" i="23" s="1"/>
  <c r="S517" i="23" s="1"/>
  <c r="S527" i="23" s="1"/>
  <c r="S537" i="23" s="1"/>
  <c r="S547" i="23" s="1"/>
  <c r="I77" i="19"/>
  <c r="S257" i="23" s="1"/>
  <c r="S267" i="23" s="1"/>
  <c r="S277" i="23" s="1"/>
  <c r="S287" i="23" s="1"/>
  <c r="S297" i="23" s="1"/>
  <c r="M74" i="19"/>
  <c r="S454" i="23" s="1"/>
  <c r="S464" i="23" s="1"/>
  <c r="S474" i="23" s="1"/>
  <c r="S484" i="23" s="1"/>
  <c r="S494" i="23" s="1"/>
  <c r="E74" i="19"/>
  <c r="S54" i="23" s="1"/>
  <c r="S64" i="23" s="1"/>
  <c r="S74" i="23" s="1"/>
  <c r="S84" i="23" s="1"/>
  <c r="S94" i="23" s="1"/>
  <c r="G77" i="19"/>
  <c r="S157" i="23" s="1"/>
  <c r="S167" i="23" s="1"/>
  <c r="S177" i="23" s="1"/>
  <c r="S187" i="23" s="1"/>
  <c r="S197" i="23" s="1"/>
  <c r="R58" i="23"/>
  <c r="R68" i="23" s="1"/>
  <c r="R78" i="23" s="1"/>
  <c r="R88" i="23" s="1"/>
  <c r="R98" i="23" s="1"/>
  <c r="J77" i="19"/>
  <c r="S307" i="23" s="1"/>
  <c r="S317" i="23" s="1"/>
  <c r="S327" i="23" s="1"/>
  <c r="S337" i="23" s="1"/>
  <c r="S347" i="23" s="1"/>
  <c r="G79" i="19"/>
  <c r="S159" i="23" s="1"/>
  <c r="S169" i="23" s="1"/>
  <c r="S179" i="23" s="1"/>
  <c r="S189" i="23" s="1"/>
  <c r="S199" i="23" s="1"/>
  <c r="E77" i="19"/>
  <c r="S57" i="23" s="1"/>
  <c r="S67" i="23" s="1"/>
  <c r="S77" i="23" s="1"/>
  <c r="S87" i="23" s="1"/>
  <c r="S97" i="23" s="1"/>
  <c r="J56" i="19"/>
  <c r="I66" i="17"/>
  <c r="I50" i="17"/>
  <c r="H56" i="19"/>
  <c r="I18" i="17"/>
  <c r="D56" i="19"/>
  <c r="N56" i="19"/>
  <c r="I98" i="17"/>
  <c r="G56" i="19"/>
  <c r="Q34" i="17"/>
  <c r="L56" i="19"/>
  <c r="I82" i="17"/>
  <c r="Q82" i="17"/>
  <c r="M56" i="19"/>
  <c r="Q66" i="17"/>
  <c r="K56" i="19"/>
  <c r="Q18" i="17"/>
  <c r="E56" i="19"/>
  <c r="I34" i="17"/>
  <c r="F56" i="19"/>
  <c r="Q50" i="17"/>
  <c r="I56" i="19"/>
  <c r="I67" i="19" l="1"/>
  <c r="I66" i="19"/>
  <c r="R252" i="23"/>
  <c r="R262" i="23" s="1"/>
  <c r="R272" i="23" s="1"/>
  <c r="R282" i="23" s="1"/>
  <c r="R292" i="23" s="1"/>
  <c r="I72" i="19"/>
  <c r="R352" i="23"/>
  <c r="R362" i="23" s="1"/>
  <c r="R372" i="23" s="1"/>
  <c r="R382" i="23" s="1"/>
  <c r="R392" i="23" s="1"/>
  <c r="K66" i="19"/>
  <c r="K67" i="19"/>
  <c r="K72" i="19"/>
  <c r="N67" i="19"/>
  <c r="R502" i="23"/>
  <c r="R512" i="23" s="1"/>
  <c r="R522" i="23" s="1"/>
  <c r="R532" i="23" s="1"/>
  <c r="R542" i="23" s="1"/>
  <c r="N72" i="19"/>
  <c r="N66" i="19"/>
  <c r="H66" i="19"/>
  <c r="R202" i="23"/>
  <c r="R212" i="23" s="1"/>
  <c r="R222" i="23" s="1"/>
  <c r="R232" i="23" s="1"/>
  <c r="R242" i="23" s="1"/>
  <c r="H72" i="19"/>
  <c r="H67" i="19"/>
  <c r="F67" i="19"/>
  <c r="R102" i="23"/>
  <c r="R112" i="23" s="1"/>
  <c r="R122" i="23" s="1"/>
  <c r="R132" i="23" s="1"/>
  <c r="R142" i="23" s="1"/>
  <c r="F72" i="19"/>
  <c r="F66" i="19"/>
  <c r="D67" i="19"/>
  <c r="R2" i="23"/>
  <c r="R12" i="23" s="1"/>
  <c r="R22" i="23" s="1"/>
  <c r="R32" i="23" s="1"/>
  <c r="R42" i="23" s="1"/>
  <c r="D66" i="19"/>
  <c r="E67" i="19"/>
  <c r="R52" i="23"/>
  <c r="R62" i="23" s="1"/>
  <c r="R72" i="23" s="1"/>
  <c r="R82" i="23" s="1"/>
  <c r="R92" i="23" s="1"/>
  <c r="E72" i="19"/>
  <c r="E66" i="19"/>
  <c r="M66" i="19"/>
  <c r="M67" i="19"/>
  <c r="R452" i="23"/>
  <c r="R462" i="23" s="1"/>
  <c r="R472" i="23" s="1"/>
  <c r="R482" i="23" s="1"/>
  <c r="R492" i="23" s="1"/>
  <c r="M72" i="19"/>
  <c r="L66" i="19"/>
  <c r="R402" i="23"/>
  <c r="R412" i="23" s="1"/>
  <c r="R422" i="23" s="1"/>
  <c r="R432" i="23" s="1"/>
  <c r="R442" i="23" s="1"/>
  <c r="L72" i="19"/>
  <c r="L67" i="19"/>
  <c r="R152" i="23"/>
  <c r="R162" i="23" s="1"/>
  <c r="R172" i="23" s="1"/>
  <c r="R182" i="23" s="1"/>
  <c r="R192" i="23" s="1"/>
  <c r="G72" i="19"/>
  <c r="G67" i="19"/>
  <c r="G66" i="19"/>
  <c r="J66" i="19"/>
  <c r="J67" i="19"/>
  <c r="J72" i="19"/>
  <c r="R302" i="23"/>
  <c r="R312" i="23" s="1"/>
  <c r="R322" i="23" s="1"/>
  <c r="R332" i="23" s="1"/>
  <c r="R342" i="23" s="1"/>
  <c r="K83" i="19" l="1"/>
  <c r="S352" i="23"/>
  <c r="S362" i="23" s="1"/>
  <c r="S372" i="23" s="1"/>
  <c r="S382" i="23" s="1"/>
  <c r="S392" i="23" s="1"/>
  <c r="K82" i="19"/>
  <c r="S252" i="23"/>
  <c r="S262" i="23" s="1"/>
  <c r="S272" i="23" s="1"/>
  <c r="S282" i="23" s="1"/>
  <c r="S292" i="23" s="1"/>
  <c r="I82" i="19"/>
  <c r="I83" i="19"/>
  <c r="M83" i="19"/>
  <c r="M82" i="19"/>
  <c r="S452" i="23"/>
  <c r="S462" i="23" s="1"/>
  <c r="S472" i="23" s="1"/>
  <c r="S482" i="23" s="1"/>
  <c r="S492" i="23" s="1"/>
  <c r="H83" i="19"/>
  <c r="H82" i="19"/>
  <c r="S202" i="23"/>
  <c r="S212" i="23" s="1"/>
  <c r="S222" i="23" s="1"/>
  <c r="S232" i="23" s="1"/>
  <c r="S242" i="23" s="1"/>
  <c r="N83" i="19"/>
  <c r="N82" i="19"/>
  <c r="S502" i="23"/>
  <c r="S512" i="23" s="1"/>
  <c r="S522" i="23" s="1"/>
  <c r="S532" i="23" s="1"/>
  <c r="S542" i="23" s="1"/>
  <c r="G82" i="19"/>
  <c r="G83" i="19"/>
  <c r="S152" i="23"/>
  <c r="S162" i="23" s="1"/>
  <c r="S172" i="23" s="1"/>
  <c r="S182" i="23" s="1"/>
  <c r="S192" i="23" s="1"/>
  <c r="S102" i="23"/>
  <c r="S112" i="23" s="1"/>
  <c r="S122" i="23" s="1"/>
  <c r="S132" i="23" s="1"/>
  <c r="S142" i="23" s="1"/>
  <c r="F82" i="19"/>
  <c r="F83" i="19"/>
  <c r="J82" i="19"/>
  <c r="S302" i="23"/>
  <c r="S312" i="23" s="1"/>
  <c r="S322" i="23" s="1"/>
  <c r="S332" i="23" s="1"/>
  <c r="S342" i="23" s="1"/>
  <c r="J83" i="19"/>
  <c r="S402" i="23"/>
  <c r="S412" i="23" s="1"/>
  <c r="S422" i="23" s="1"/>
  <c r="S432" i="23" s="1"/>
  <c r="S442" i="23" s="1"/>
  <c r="L83" i="19"/>
  <c r="L82" i="19"/>
  <c r="E83" i="19"/>
  <c r="S52" i="23"/>
  <c r="S62" i="23" s="1"/>
  <c r="S72" i="23" s="1"/>
  <c r="S82" i="23" s="1"/>
  <c r="S92" i="23" s="1"/>
  <c r="E82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Cecilia Lima</author>
  </authors>
  <commentList>
    <comment ref="C1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Definir as faixas etárias de acordo com o perfil da população alvo
Ex: 18 a 100; 45 a 59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Cecilia Lima</author>
  </authors>
  <commentList>
    <comment ref="C3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Para avaliar cenários variando o market share utilize a opção "4 - Cenários Alternativos" da planilha "Critérios"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tc={0C145E06-1E0A-45D8-B2A1-57EAF63C8882}</author>
    <author>felee</author>
  </authors>
  <commentList>
    <comment ref="A1" authorId="0" shapeId="0" xr:uid="{0C145E06-1E0A-45D8-B2A1-57EAF63C888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As fórmulas mudam conforme a linha. Quando o cenário for "referência" e a tecnologia for "em análise" é excluída essa parte da fórmula SE/E para não dar erro de valor.</t>
      </text>
    </comment>
    <comment ref="V2" authorId="1" shapeId="0" xr:uid="{AE5FC2DE-A24B-448D-99DE-3EAA26A3C192}">
      <text>
        <r>
          <rPr>
            <b/>
            <sz val="9"/>
            <color indexed="81"/>
            <rFont val="Segoe UI"/>
            <family val="2"/>
          </rPr>
          <t>Número da UAT</t>
        </r>
      </text>
    </comment>
    <comment ref="V3" authorId="1" shapeId="0" xr:uid="{A0EDE571-68D1-4201-9580-D100978B30AF}">
      <text>
        <r>
          <rPr>
            <b/>
            <sz val="9"/>
            <color indexed="81"/>
            <rFont val="Segoe UI"/>
            <family val="2"/>
          </rPr>
          <t>Formrol, Conitec Pós MP, Conitec Pré MP, Demanda Interna</t>
        </r>
      </text>
    </comment>
    <comment ref="V4" authorId="1" shapeId="0" xr:uid="{AB604F94-F76B-45DB-B206-A445900857E7}">
      <text>
        <r>
          <rPr>
            <b/>
            <sz val="9"/>
            <color indexed="81"/>
            <rFont val="Segoe UI"/>
            <family val="2"/>
          </rPr>
          <t>Indicar o conjunto de linhas que corresponde ao Cenário 1 e Cenário 2 (se houver). Esses são os cenários que serão considerados nos cálculos. O cenário base é sempre o primeiro e já está indicado. Caso existam outros para além do 1 e do 2, chamar de Cenário Alternativo.</t>
        </r>
      </text>
    </comment>
    <comment ref="V5" authorId="1" shapeId="0" xr:uid="{FFCA1F86-243F-4963-B8EC-8142CB9B12A6}">
      <text>
        <r>
          <rPr>
            <b/>
            <sz val="9"/>
            <color indexed="81"/>
            <rFont val="Segoe UI"/>
            <family val="2"/>
          </rPr>
          <t>Caso tenha sido utilizada mais de uma planilha, indicar aqui. Se houve só uma será Planilha 1. As subsequentes deverão seguir a ordem de numeração.</t>
        </r>
      </text>
    </comment>
    <comment ref="V6" authorId="1" shapeId="0" xr:uid="{405473D1-1EDF-4C27-BFD5-19F3AF1F2D4F}">
      <text>
        <r>
          <rPr>
            <b/>
            <sz val="9"/>
            <color indexed="81"/>
            <rFont val="Segoe UI"/>
            <family val="2"/>
          </rPr>
          <t>Colocar um tema para diferenciar as planilhas, caso haja mais de uma. Caso contrário, manter o "Geral"</t>
        </r>
      </text>
    </comment>
  </commentList>
</comments>
</file>

<file path=xl/sharedStrings.xml><?xml version="1.0" encoding="utf-8"?>
<sst xmlns="http://schemas.openxmlformats.org/spreadsheetml/2006/main" count="2784" uniqueCount="256">
  <si>
    <t>Horizonte temporal da análise (em anos)</t>
  </si>
  <si>
    <t>Sexo</t>
  </si>
  <si>
    <t>Masculino</t>
  </si>
  <si>
    <t>Feminino</t>
  </si>
  <si>
    <t>Ano de início da análise</t>
  </si>
  <si>
    <t>População</t>
  </si>
  <si>
    <t>Horizonte Temporal</t>
  </si>
  <si>
    <t>1 ano</t>
  </si>
  <si>
    <t>2 anos</t>
  </si>
  <si>
    <t>3 anos</t>
  </si>
  <si>
    <t>4 anos</t>
  </si>
  <si>
    <t>5 anos</t>
  </si>
  <si>
    <t>6 anos</t>
  </si>
  <si>
    <t>7 anos</t>
  </si>
  <si>
    <t>8 anos</t>
  </si>
  <si>
    <t>9 anos</t>
  </si>
  <si>
    <t>10 anos</t>
  </si>
  <si>
    <t>Método para definição da população de interesse: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</si>
  <si>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</si>
  <si>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</si>
  <si>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</si>
  <si>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</si>
  <si>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</si>
  <si>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</si>
  <si>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</si>
  <si>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</si>
  <si>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</si>
  <si>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</si>
  <si>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Fonte:</t>
  </si>
  <si>
    <t>Total</t>
  </si>
  <si>
    <t>Total de pessoas que recebem tratamento</t>
  </si>
  <si>
    <t>Custos Diretos</t>
  </si>
  <si>
    <t>Custos Associados</t>
  </si>
  <si>
    <t>Unidades Anuais</t>
  </si>
  <si>
    <t>Custo Anual</t>
  </si>
  <si>
    <t>Custo Total</t>
  </si>
  <si>
    <t>2. Tecnologias alternativas</t>
  </si>
  <si>
    <t>Idade</t>
  </si>
  <si>
    <t>Faixa Etária</t>
  </si>
  <si>
    <t>-</t>
  </si>
  <si>
    <t>Custos Totais</t>
  </si>
  <si>
    <t>Ambos</t>
  </si>
  <si>
    <t>Sexo:</t>
  </si>
  <si>
    <t>1. Nome da nova intervenção:</t>
  </si>
  <si>
    <t>Quantidade de tecnlogias alternativas</t>
  </si>
  <si>
    <t>Mix de tratamento - Market Share</t>
  </si>
  <si>
    <t>Quantidade de cenários alternativos</t>
  </si>
  <si>
    <t>Nome do Cenário Alternativo 1</t>
  </si>
  <si>
    <t>Nome do Cenário Alternativo 2</t>
  </si>
  <si>
    <t>Nome do Cenário Alternativo 3</t>
  </si>
  <si>
    <t>Quantidade de Cenário Alternativos</t>
  </si>
  <si>
    <t>Impacto Orçamentário Total</t>
  </si>
  <si>
    <t>Impacto Incremental Total</t>
  </si>
  <si>
    <t>Período</t>
  </si>
  <si>
    <t>3. Nome do cenário de referência</t>
  </si>
  <si>
    <t>4. Cenários Alternativos</t>
  </si>
  <si>
    <t>5. Características da análise</t>
  </si>
  <si>
    <t>Parâmetros Epidemiológicos</t>
  </si>
  <si>
    <t>Quantidade de tecnologias alternativas</t>
  </si>
  <si>
    <t>Planilha Criterios</t>
  </si>
  <si>
    <t>Planilha Populacao</t>
  </si>
  <si>
    <t>Sim</t>
  </si>
  <si>
    <t>Não</t>
  </si>
  <si>
    <t>População Elegível Final</t>
  </si>
  <si>
    <t>Utilizado na análise de sensibilidade?</t>
  </si>
  <si>
    <t>Planilha Parâmetros</t>
  </si>
  <si>
    <t>Descrição da população</t>
  </si>
  <si>
    <t>Definições</t>
  </si>
  <si>
    <t>População de referência</t>
  </si>
  <si>
    <t>Item de custo</t>
  </si>
  <si>
    <t>Método para definição da população de referência:</t>
  </si>
  <si>
    <t>Construa o modelo definindo o número de cenários, alternativas e horizonte temporal na aba critérios.</t>
  </si>
  <si>
    <t>Nome do Cenário Alternativo 4</t>
  </si>
  <si>
    <t>Nome do Cenário Alternativo 5</t>
  </si>
  <si>
    <t>Nome do Cenário Alternativo 6</t>
  </si>
  <si>
    <t>Nome do Cenário Alternativo 7</t>
  </si>
  <si>
    <t>Nome do Cenário Alternativo 8</t>
  </si>
  <si>
    <t>Nome do Cenário Alternativo 9</t>
  </si>
  <si>
    <t>Nome do Cenário Alternativo 10</t>
  </si>
  <si>
    <t>População:</t>
  </si>
  <si>
    <t>Diretoria de Normas e Habilitação dos Produtos (DIPRO)</t>
  </si>
  <si>
    <t>Coordenadoria de Gestão de Avaliação de Tecnologias em Saúde (COGEST)</t>
  </si>
  <si>
    <t>Gerência de Atenção à Saúde (GEAS)</t>
  </si>
  <si>
    <t>Gerência-Geral de Regulação Assistencial (GGRAS)</t>
  </si>
  <si>
    <t>Agência Nacional de Saúde Suplementar</t>
  </si>
  <si>
    <t>(+55) 21 2105-0419</t>
  </si>
  <si>
    <t xml:space="preserve">O presente instrumento foi gentilmente cedido à ANS pelo </t>
  </si>
  <si>
    <t>Núcleo de Avaliação de Tecnologias em Saúde (NATS) do</t>
  </si>
  <si>
    <t>Instituto Nacional de Cardiologia (INC/MS).</t>
  </si>
  <si>
    <t>Fontes:</t>
  </si>
  <si>
    <t>Nome da Tecnologia A</t>
  </si>
  <si>
    <t>Nome da Tecnologia B</t>
  </si>
  <si>
    <t>Nome da Tecnologia C</t>
  </si>
  <si>
    <t>Nome da Tecnologia D</t>
  </si>
  <si>
    <t xml:space="preserve">Parâmetro 1 </t>
  </si>
  <si>
    <t>Parâmetro 5</t>
  </si>
  <si>
    <t xml:space="preserve">Parâmetro 4 </t>
  </si>
  <si>
    <t xml:space="preserve">Parâmetro 3 </t>
  </si>
  <si>
    <t xml:space="preserve">Parâmetro 2 </t>
  </si>
  <si>
    <t>Parâmetros</t>
  </si>
  <si>
    <t>Proporção5</t>
  </si>
  <si>
    <t>Proporção4</t>
  </si>
  <si>
    <t>Proporção3</t>
  </si>
  <si>
    <t>Epidemiologico Beneficiarios Saude Suplementar</t>
  </si>
  <si>
    <t>Demanda Aferida</t>
  </si>
  <si>
    <t>Proporção6</t>
  </si>
  <si>
    <t>Proporção7</t>
  </si>
  <si>
    <t>Proporção8</t>
  </si>
  <si>
    <t>Proporção9</t>
  </si>
  <si>
    <t>Proporção10</t>
  </si>
  <si>
    <t>Parâmetro 6</t>
  </si>
  <si>
    <t>Parâmetro 7</t>
  </si>
  <si>
    <t>Parâmetro 8</t>
  </si>
  <si>
    <t>Parâmetro 9</t>
  </si>
  <si>
    <t>Parâmetro 10</t>
  </si>
  <si>
    <t>Método Epidemiológico: parte da população de beneficiários da saúde suplementar, utilizando sexo e faixas etárias de interesse onde aplicam-se parâmetros epidemiológicos da literatura científica como: prevalência, incidência, taxas de falha, entre outros.</t>
  </si>
  <si>
    <t>Quantidade</t>
  </si>
  <si>
    <t>População Elegível</t>
  </si>
  <si>
    <t>Custos diretos</t>
  </si>
  <si>
    <t>Valor anual</t>
  </si>
  <si>
    <t>Tecnologia</t>
  </si>
  <si>
    <t>Custos associados</t>
  </si>
  <si>
    <t>Média</t>
  </si>
  <si>
    <t>Média anual</t>
  </si>
  <si>
    <t>***ATENÇÃO***
Comparadores somente que constem no Rol</t>
  </si>
  <si>
    <t>Demanda Aferida: parte de alguma informação disponível sobre a população de interesse, na qual não há necessidade de se aplicar parâmetros epidemiológicos, como por exemplo: contagem de pacientes de um cadastro específico ou dados históricos da utilziação do serviço de saúde de interesse.</t>
  </si>
  <si>
    <t>Cenário de referência: sem a tecnologia em avaliação
Cenários alternativos: com a inclusão da tecnologia em avaliação, abrangendo variações de market share</t>
  </si>
  <si>
    <t>Taxa de difusão em X anos: XX%</t>
  </si>
  <si>
    <t>***ATENÇÃO*** Informar as referências de todos os parâmetros adotados para o cálculo da população alvo</t>
  </si>
  <si>
    <t>População Elegível 
Ano 1</t>
  </si>
  <si>
    <t>Ano</t>
  </si>
  <si>
    <t>Custo Anual Tratamento
1º ano</t>
  </si>
  <si>
    <t>Intervenção</t>
  </si>
  <si>
    <t>***ATENÇÃO***
Esta planilha deverá ser utilziada, caso necessário, como auxiliar na composição dos custos informados na planilha "Custos". Esta planilha se aplica em 2 casos:
1 - Caso em que o custo anual do tratamento é diferente no primeiro ano dos demais anos. Neste caso esta planilha auxiliar retorna o cálculo de um valor de custo anual médio ponderado pela população elegível que deverá ser inserido na planilha "custos".
2 - Caso em que o o custo anual do tratamento não puder ser informado detalhadamente no formato da planilha "Custos". Neste caso deverão ser inserida aqui uma tabela própria na qual apareça o detalhamento do custo e o seu valor consolidado anualmente poderá ser inserido na planilha "Custos".</t>
  </si>
  <si>
    <t>Caso 1: Utilizar este quadro caso o custo anual tratamento DIFIRA do 1º ano para os demais anos</t>
  </si>
  <si>
    <t>Caso 2: Para quando não for possível detalhar os custos no formato da planilha "Custos", inserir abaixo tabela(s) própria(s) DETALHANDO AO MÁXIMO a composição do custo anual da intervenção e seus comparadores</t>
  </si>
  <si>
    <t>Custo da tecnologia em avaliação:</t>
  </si>
  <si>
    <t>***ATENÇÃO***
Inserir aqui a informação sobre custos o mais detalhado possível. Caso o detalhamento do custo não possa ser informado neste formato, reportá-lo nesta planilha de maneira agregada e na "Planilha auxiliar custos" demonstrar o detalhamento dos custos considerados. Para o caso de intervenções que tenham custo anual diferenciado no primeiro ano de tratamento, também acessar a "Planilha auxiliar custos"</t>
  </si>
  <si>
    <t>***ATENÇÃO***
Para análise de sensibilidade os parâmetros acima, "População" e "Custo da tecnologia em avaliação", podem ser variados percentualmente</t>
  </si>
  <si>
    <t>Para mais orientações, consulte o manual instrutivo.</t>
  </si>
  <si>
    <t>Proporção1</t>
  </si>
  <si>
    <t>Proporção2</t>
  </si>
  <si>
    <t>Usado?</t>
  </si>
  <si>
    <t>UAT</t>
  </si>
  <si>
    <t>ORIGEM</t>
  </si>
  <si>
    <t>Cenários para Cálculo</t>
  </si>
  <si>
    <t>Planilha</t>
  </si>
  <si>
    <t>Tema da Planilha</t>
  </si>
  <si>
    <t>Tipo de ano</t>
  </si>
  <si>
    <t>Método Populaçã</t>
  </si>
  <si>
    <t>Tipo de Tecnologia</t>
  </si>
  <si>
    <t>Tipo de Cenário</t>
  </si>
  <si>
    <t>Cenário</t>
  </si>
  <si>
    <t>Difusão</t>
  </si>
  <si>
    <t>IO Total</t>
  </si>
  <si>
    <t>IO Incremental</t>
  </si>
  <si>
    <t>INFORMAÇÕES ADICIONAIS (preenchido à mão)</t>
  </si>
  <si>
    <t>Tecnologia em análise</t>
  </si>
  <si>
    <t>Cenário referência</t>
  </si>
  <si>
    <t>UAT:</t>
  </si>
  <si>
    <t>ORIGEM:</t>
  </si>
  <si>
    <t>Formrol</t>
  </si>
  <si>
    <t>Cenário para cálculos:</t>
  </si>
  <si>
    <t>Indicar direto na tabela</t>
  </si>
  <si>
    <t>Planilha:</t>
  </si>
  <si>
    <t>Planilha 1</t>
  </si>
  <si>
    <t>Tema da planilha:</t>
  </si>
  <si>
    <t>Geral</t>
  </si>
  <si>
    <t>Comparador 01</t>
  </si>
  <si>
    <t>Comparador 02</t>
  </si>
  <si>
    <t>Comparador 03</t>
  </si>
  <si>
    <t>Comparador 04</t>
  </si>
  <si>
    <t>Cenário alternativo 01</t>
  </si>
  <si>
    <t>Cenário alternativo 02</t>
  </si>
  <si>
    <t>Cenário alternativo 03</t>
  </si>
  <si>
    <t>Cenário alternativo 04</t>
  </si>
  <si>
    <t>Cenário alternativo 05</t>
  </si>
  <si>
    <t>Cenário alternativo 06</t>
  </si>
  <si>
    <t>Cenário alternativo 07</t>
  </si>
  <si>
    <t>Cenário alternativo 08</t>
  </si>
  <si>
    <t>Cenário alternativo 09</t>
  </si>
  <si>
    <t>Cenário alternativo 10</t>
  </si>
  <si>
    <t>Cenário Base</t>
  </si>
  <si>
    <t>Semana</t>
  </si>
  <si>
    <t xml:space="preserve">CMED </t>
  </si>
  <si>
    <t>Pirtobrutinibe</t>
  </si>
  <si>
    <t>Sem pirtobrutinibe</t>
  </si>
  <si>
    <t>Incorporação progressiva- pirtobrutinibe</t>
  </si>
  <si>
    <t xml:space="preserve"> Incidência de Linfoma Não-Hodgkin no Brasil	</t>
  </si>
  <si>
    <t xml:space="preserve">Proporção Linfoma de Células do Manto entre todos os Linfomas Não-Hodgkin </t>
  </si>
  <si>
    <t xml:space="preserve">Proporção LCM Recidivado / refratário em terceira linha (2 recidivas prévias) </t>
  </si>
  <si>
    <t>200mg</t>
  </si>
  <si>
    <t>Dose por ciclo</t>
  </si>
  <si>
    <t>Apresentação</t>
  </si>
  <si>
    <t>Custo por comprimido</t>
  </si>
  <si>
    <t xml:space="preserve"> Conjunto de Tratamentos-Padrão</t>
  </si>
  <si>
    <t>Citarabina</t>
  </si>
  <si>
    <t>Doxorrubicina</t>
  </si>
  <si>
    <t>Vincristina</t>
  </si>
  <si>
    <t>Bendamustina</t>
  </si>
  <si>
    <t>Bortezomibe</t>
  </si>
  <si>
    <t>Ciclofosfamida</t>
  </si>
  <si>
    <t>Rituximabe</t>
  </si>
  <si>
    <t>Unidade</t>
  </si>
  <si>
    <r>
      <t>mg/m</t>
    </r>
    <r>
      <rPr>
        <vertAlign val="superscript"/>
        <sz val="7.7"/>
        <color rgb="FF000000"/>
        <rFont val="Calibri"/>
        <family val="2"/>
        <scheme val="minor"/>
      </rPr>
      <t>2</t>
    </r>
  </si>
  <si>
    <t>mg/kg</t>
  </si>
  <si>
    <t>mg</t>
  </si>
  <si>
    <t>Distribuição de Uso</t>
  </si>
  <si>
    <t>Custo de administração</t>
  </si>
  <si>
    <t>Parâmetro</t>
  </si>
  <si>
    <t>Valor</t>
  </si>
  <si>
    <t>Fonte/Notas</t>
  </si>
  <si>
    <t>Idade do paciente (anos)</t>
  </si>
  <si>
    <t>Estudo BRUIN (Lilly DOF, 2022a).</t>
  </si>
  <si>
    <t>Porcentagem feminina</t>
  </si>
  <si>
    <t>Peso do paciente (kg)</t>
  </si>
  <si>
    <t>BSA do paciente (m^2)</t>
  </si>
  <si>
    <t>Estudo BRUIN (Lilly DOF, 2022a). DP = 0,26</t>
  </si>
  <si>
    <t>Preços dos Medicamentos Conforme Tabela CMED (03/09/2024)</t>
  </si>
  <si>
    <t>Medicamento</t>
  </si>
  <si>
    <t>Via de Administração</t>
  </si>
  <si>
    <t>Unidades por pacote</t>
  </si>
  <si>
    <t>Pirtobrutinib</t>
  </si>
  <si>
    <t>Comprimidos</t>
  </si>
  <si>
    <t>Oral</t>
  </si>
  <si>
    <t>Frasco</t>
  </si>
  <si>
    <t>IV</t>
  </si>
  <si>
    <t>Custo de administração para agentes injetáveis</t>
  </si>
  <si>
    <t>Porte</t>
  </si>
  <si>
    <t>Fonte</t>
  </si>
  <si>
    <t>Custo planejamento e administração primeiro ciclo de QT/IT</t>
  </si>
  <si>
    <t>4A</t>
  </si>
  <si>
    <t>CBHPM 2024</t>
  </si>
  <si>
    <t>Custo administração ciclos subsequentes QT/IT</t>
  </si>
  <si>
    <t>1C</t>
  </si>
  <si>
    <t>Tempo de tratamento= 5,2 meses</t>
  </si>
  <si>
    <t>Beneficiários de planos de assistência médica da saúde suplementar: fonte SIB - Sistema de Informação de Beneficiários ref: Dez/2023
Para estimativa da população de beneficiários de 2024 até 2035, foi aplicada a projeção da população brasileira por idade e sexo calculada pelo IBGE 2024 
Incidência de Linfoma Não-Hodgkin no Brasil=  incidência de câncer no Brasil / Instituto Nacional de Câncer. – Rio de Janeiro : INCA, 2023. (5,57 / 100.000 hab)
Proporção Linfoma de Células do Manto entre todos os Linfomas Não-Hodgkin= Gouveia GR, Siqueira SA, Chamone Dde A, Pereira J. Prevalence of non-Hodgkin lymphomas in Sao Paulo, Brazil. Rev Bras Hematol Hemoter. 2011;33(4):317.
Proporção LCM Recidivado / refratário em terceira linha (2 recidivas prévias)= Kumar A, Sha F et al. Patterns of survival in patients with recurrent mantle cell lymphoma in the modern era: progressive shortening in response duration and survival after each relapse. Blood Cancer J. 2019 May 20;9(6):50. *Informação está na figura 1; sendo N= 404 e n de pacientes em terceira linha= 115 (28,46%)
Tempo de tratamento  (5.2 meses)= Wang ML, Jurczak W, Zinzani PL, et al. Pirtobrutinib in Covalent Bruton Tyrosine Kinase Inhibitor Pretreated Mantle-Cell Lymphoma. J Clin Oncol. 2023 Aug 20;41(24):3988-3997. doi: 10.1200/JCO.23.00562. Epub 2023 May 16.</t>
  </si>
  <si>
    <t>TOTAL conjunto tratamento padrão</t>
  </si>
  <si>
    <t>60 comprimidos de 100mg</t>
  </si>
  <si>
    <t>100mg</t>
  </si>
  <si>
    <t>50mg</t>
  </si>
  <si>
    <t>1,0mg</t>
  </si>
  <si>
    <t>Custo por ciclo</t>
  </si>
  <si>
    <t>NA</t>
  </si>
  <si>
    <t>1,5 mg</t>
  </si>
  <si>
    <t>Rituximabe (Ruxience)</t>
  </si>
  <si>
    <t>Altura do paciente (cm)</t>
  </si>
  <si>
    <t>Dosagem Padrão</t>
  </si>
  <si>
    <t>Dosagens baseadas na BSA</t>
  </si>
  <si>
    <t>Total de mg/ ciclo</t>
  </si>
  <si>
    <t>Custos do remédio</t>
  </si>
  <si>
    <t>Total de unidade por ciclo</t>
  </si>
  <si>
    <t>Custo total paciente+ administração</t>
  </si>
  <si>
    <t>Total com a distribuição de uso</t>
  </si>
  <si>
    <t>Tempo de tratamento= 5,2 meses (23 semanas)</t>
  </si>
  <si>
    <t>Custo por embalagem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</si>
</sst>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0.000%"/>
    <numFmt numFmtId="167" formatCode="_-* #,##0.0_-;\-* #,##0.0_-;_-* &quot;-&quot;??_-;_-@_-"/>
    <numFmt numFmtId="168" formatCode="0.0"/>
    <numFmt numFmtId="169" formatCode="_-* #,##0.0_-;\-* #,##0.0_-;_-* &quot;-&quot;?_-;_-@_-"/>
    <numFmt numFmtId="170" formatCode="0.0000%"/>
    <numFmt numFmtId="171" formatCode="0.0%"/>
    <numFmt numFmtId="172" formatCode="&quot;R$&quot;\ #,##0.0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3F3F76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0" tint="-0.1499984740745262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11"/>
      <color rgb="FF000000"/>
      <name val="Aptos Narrow"/>
      <family val="2"/>
    </font>
    <font>
      <b/>
      <sz val="11"/>
      <color rgb="FF000000"/>
      <name val="Aptos Narrow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vertAlign val="superscript"/>
      <sz val="7.7"/>
      <color rgb="FF000000"/>
      <name val="Calibri"/>
      <family val="2"/>
      <scheme val="minor"/>
    </font>
    <font>
      <b/>
      <sz val="12"/>
      <color rgb="FF3F3F76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rgb="FF000000"/>
      </patternFill>
    </fill>
  </fills>
  <borders count="71">
    <border>
      <left/>
      <right/>
      <top/>
      <bottom/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  <border>
      <left/>
      <right/>
      <top style="thin">
        <color theme="3" tint="0.39997558519241921"/>
      </top>
      <bottom/>
      <diagonal/>
    </border>
    <border>
      <left/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/>
      <top/>
      <bottom/>
      <diagonal/>
    </border>
    <border>
      <left/>
      <right style="thin">
        <color theme="3" tint="0.39997558519241921"/>
      </right>
      <top/>
      <bottom/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  <border>
      <left/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1" tint="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3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rgb="FFA5A5A5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3" borderId="12" applyNumberFormat="0" applyAlignment="0" applyProtection="0"/>
    <xf numFmtId="0" fontId="9" fillId="5" borderId="12" applyNumberFormat="0" applyAlignment="0" applyProtection="0"/>
    <xf numFmtId="0" fontId="10" fillId="0" borderId="15" applyNumberFormat="0" applyFill="0" applyAlignment="0" applyProtection="0"/>
    <xf numFmtId="0" fontId="11" fillId="6" borderId="16" applyNumberFormat="0" applyAlignment="0" applyProtection="0"/>
    <xf numFmtId="0" fontId="1" fillId="7" borderId="0" applyNumberFormat="0" applyBorder="0" applyAlignment="0" applyProtection="0"/>
    <xf numFmtId="0" fontId="8" fillId="3" borderId="12" applyNumberFormat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92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0" xfId="1" applyNumberFormat="1" applyFont="1" applyBorder="1"/>
    <xf numFmtId="0" fontId="0" fillId="2" borderId="0" xfId="0" applyFill="1"/>
    <xf numFmtId="0" fontId="2" fillId="0" borderId="0" xfId="0" applyFont="1" applyAlignment="1">
      <alignment horizontal="center"/>
    </xf>
    <xf numFmtId="165" fontId="0" fillId="0" borderId="0" xfId="0" applyNumberFormat="1"/>
    <xf numFmtId="9" fontId="0" fillId="0" borderId="0" xfId="2" applyFont="1" applyBorder="1"/>
    <xf numFmtId="0" fontId="3" fillId="0" borderId="7" xfId="0" applyFont="1" applyBorder="1"/>
    <xf numFmtId="0" fontId="4" fillId="0" borderId="0" xfId="0" applyFont="1"/>
    <xf numFmtId="0" fontId="2" fillId="2" borderId="0" xfId="0" applyFont="1" applyFill="1"/>
    <xf numFmtId="0" fontId="3" fillId="0" borderId="0" xfId="0" applyFont="1" applyAlignment="1">
      <alignment horizontal="left"/>
    </xf>
    <xf numFmtId="0" fontId="3" fillId="0" borderId="0" xfId="0" applyFont="1"/>
    <xf numFmtId="44" fontId="0" fillId="0" borderId="0" xfId="4" applyFont="1" applyBorder="1"/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/>
    </xf>
    <xf numFmtId="10" fontId="0" fillId="0" borderId="0" xfId="2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165" fontId="2" fillId="0" borderId="11" xfId="0" applyNumberFormat="1" applyFont="1" applyBorder="1"/>
    <xf numFmtId="9" fontId="0" fillId="0" borderId="7" xfId="2" applyFont="1" applyBorder="1"/>
    <xf numFmtId="0" fontId="2" fillId="0" borderId="7" xfId="0" applyFont="1" applyBorder="1"/>
    <xf numFmtId="0" fontId="0" fillId="0" borderId="11" xfId="0" applyBorder="1" applyAlignment="1">
      <alignment horizontal="center"/>
    </xf>
    <xf numFmtId="44" fontId="0" fillId="0" borderId="7" xfId="4" applyFont="1" applyBorder="1"/>
    <xf numFmtId="165" fontId="2" fillId="0" borderId="0" xfId="0" applyNumberFormat="1" applyFont="1"/>
    <xf numFmtId="10" fontId="0" fillId="0" borderId="0" xfId="2" applyNumberFormat="1" applyFont="1"/>
    <xf numFmtId="166" fontId="0" fillId="0" borderId="0" xfId="0" applyNumberFormat="1"/>
    <xf numFmtId="0" fontId="0" fillId="0" borderId="7" xfId="0" applyBorder="1" applyAlignment="1">
      <alignment horizontal="right"/>
    </xf>
    <xf numFmtId="165" fontId="0" fillId="0" borderId="7" xfId="0" applyNumberFormat="1" applyBorder="1"/>
    <xf numFmtId="165" fontId="2" fillId="0" borderId="0" xfId="0" applyNumberFormat="1" applyFont="1" applyAlignment="1">
      <alignment horizontal="center" vertical="center"/>
    </xf>
    <xf numFmtId="165" fontId="0" fillId="0" borderId="0" xfId="2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44" fontId="0" fillId="0" borderId="0" xfId="0" applyNumberFormat="1"/>
    <xf numFmtId="0" fontId="2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11" xfId="0" applyBorder="1"/>
    <xf numFmtId="0" fontId="8" fillId="3" borderId="12" xfId="17" applyAlignment="1">
      <alignment horizontal="center"/>
    </xf>
    <xf numFmtId="0" fontId="8" fillId="3" borderId="12" xfId="17"/>
    <xf numFmtId="10" fontId="8" fillId="3" borderId="12" xfId="17" applyNumberFormat="1" applyAlignment="1">
      <alignment horizontal="center" vertical="center"/>
    </xf>
    <xf numFmtId="44" fontId="8" fillId="3" borderId="12" xfId="17" applyNumberFormat="1"/>
    <xf numFmtId="0" fontId="1" fillId="0" borderId="0" xfId="3"/>
    <xf numFmtId="0" fontId="0" fillId="0" borderId="0" xfId="3" applyFont="1"/>
    <xf numFmtId="43" fontId="8" fillId="4" borderId="12" xfId="17" applyNumberFormat="1" applyFill="1"/>
    <xf numFmtId="44" fontId="8" fillId="3" borderId="12" xfId="4" applyFont="1" applyFill="1" applyBorder="1"/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43" fontId="0" fillId="0" borderId="0" xfId="1" applyFont="1" applyBorder="1" applyAlignment="1">
      <alignment vertical="center"/>
    </xf>
    <xf numFmtId="10" fontId="0" fillId="0" borderId="5" xfId="0" applyNumberFormat="1" applyBorder="1"/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44" fontId="0" fillId="0" borderId="0" xfId="4" applyFont="1" applyBorder="1" applyAlignment="1">
      <alignment vertical="center"/>
    </xf>
    <xf numFmtId="0" fontId="0" fillId="0" borderId="7" xfId="0" applyBorder="1" applyAlignment="1">
      <alignment vertical="center"/>
    </xf>
    <xf numFmtId="44" fontId="0" fillId="0" borderId="7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7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9" fontId="0" fillId="0" borderId="0" xfId="2" applyFont="1" applyBorder="1" applyAlignment="1">
      <alignment vertical="center"/>
    </xf>
    <xf numFmtId="9" fontId="8" fillId="3" borderId="12" xfId="2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7" xfId="0" applyFont="1" applyBorder="1" applyAlignment="1">
      <alignment vertical="center"/>
    </xf>
    <xf numFmtId="9" fontId="0" fillId="0" borderId="7" xfId="2" applyFont="1" applyBorder="1" applyAlignment="1">
      <alignment vertical="center"/>
    </xf>
    <xf numFmtId="43" fontId="0" fillId="0" borderId="7" xfId="1" applyFont="1" applyBorder="1" applyAlignment="1">
      <alignment vertical="center"/>
    </xf>
    <xf numFmtId="10" fontId="2" fillId="0" borderId="2" xfId="0" applyNumberFormat="1" applyFont="1" applyBorder="1" applyAlignment="1">
      <alignment horizontal="right"/>
    </xf>
    <xf numFmtId="43" fontId="0" fillId="0" borderId="2" xfId="0" applyNumberFormat="1" applyBorder="1" applyAlignment="1">
      <alignment vertical="center"/>
    </xf>
    <xf numFmtId="44" fontId="0" fillId="0" borderId="2" xfId="0" applyNumberFormat="1" applyBorder="1" applyAlignment="1">
      <alignment vertical="center"/>
    </xf>
    <xf numFmtId="43" fontId="0" fillId="0" borderId="0" xfId="1" applyFont="1"/>
    <xf numFmtId="0" fontId="0" fillId="0" borderId="17" xfId="0" applyBorder="1" applyAlignment="1">
      <alignment horizontal="center"/>
    </xf>
    <xf numFmtId="0" fontId="0" fillId="0" borderId="13" xfId="0" applyBorder="1"/>
    <xf numFmtId="43" fontId="0" fillId="0" borderId="17" xfId="1" applyFont="1" applyBorder="1"/>
    <xf numFmtId="0" fontId="0" fillId="0" borderId="0" xfId="0" applyAlignment="1">
      <alignment horizontal="center" vertical="center" wrapText="1"/>
    </xf>
    <xf numFmtId="43" fontId="0" fillId="0" borderId="0" xfId="1" applyFont="1" applyBorder="1"/>
    <xf numFmtId="43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0" fontId="11" fillId="6" borderId="16" xfId="20" applyAlignment="1">
      <alignment horizontal="center"/>
    </xf>
    <xf numFmtId="0" fontId="11" fillId="6" borderId="16" xfId="20" applyAlignment="1">
      <alignment horizontal="center" vertical="center" wrapText="1"/>
    </xf>
    <xf numFmtId="0" fontId="11" fillId="6" borderId="16" xfId="20" applyAlignment="1">
      <alignment horizontal="center" vertical="center"/>
    </xf>
    <xf numFmtId="0" fontId="10" fillId="0" borderId="15" xfId="19" applyAlignment="1">
      <alignment horizontal="center"/>
    </xf>
    <xf numFmtId="0" fontId="1" fillId="0" borderId="0" xfId="3" applyAlignment="1">
      <alignment horizontal="center" vertical="center" wrapText="1"/>
    </xf>
    <xf numFmtId="0" fontId="9" fillId="5" borderId="12" xfId="18" applyAlignment="1">
      <alignment horizontal="center" vertical="center"/>
    </xf>
    <xf numFmtId="0" fontId="10" fillId="0" borderId="15" xfId="19" applyAlignment="1">
      <alignment horizontal="center" vertical="center"/>
    </xf>
    <xf numFmtId="165" fontId="1" fillId="7" borderId="0" xfId="21" applyNumberFormat="1" applyBorder="1"/>
    <xf numFmtId="10" fontId="0" fillId="0" borderId="7" xfId="0" applyNumberFormat="1" applyBorder="1"/>
    <xf numFmtId="0" fontId="0" fillId="0" borderId="2" xfId="0" applyBorder="1" applyAlignment="1">
      <alignment horizontal="right"/>
    </xf>
    <xf numFmtId="10" fontId="0" fillId="0" borderId="2" xfId="0" applyNumberFormat="1" applyBorder="1"/>
    <xf numFmtId="10" fontId="0" fillId="0" borderId="3" xfId="0" applyNumberFormat="1" applyBorder="1"/>
    <xf numFmtId="0" fontId="1" fillId="0" borderId="2" xfId="3" applyBorder="1"/>
    <xf numFmtId="0" fontId="1" fillId="0" borderId="4" xfId="3" applyBorder="1"/>
    <xf numFmtId="0" fontId="1" fillId="0" borderId="5" xfId="3" applyBorder="1"/>
    <xf numFmtId="0" fontId="0" fillId="0" borderId="13" xfId="0" applyBorder="1" applyAlignment="1">
      <alignment horizontal="center" vertical="center" wrapText="1"/>
    </xf>
    <xf numFmtId="0" fontId="0" fillId="0" borderId="17" xfId="0" applyBorder="1"/>
    <xf numFmtId="0" fontId="8" fillId="3" borderId="12" xfId="17" applyAlignment="1">
      <alignment horizontal="left" vertical="center"/>
    </xf>
    <xf numFmtId="10" fontId="12" fillId="3" borderId="12" xfId="17" applyNumberFormat="1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16" fillId="0" borderId="5" xfId="0" applyFont="1" applyBorder="1"/>
    <xf numFmtId="0" fontId="19" fillId="2" borderId="0" xfId="0" applyFont="1" applyFill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center" wrapText="1"/>
    </xf>
    <xf numFmtId="165" fontId="8" fillId="3" borderId="12" xfId="17" applyNumberFormat="1" applyAlignment="1">
      <alignment horizontal="center" vertical="center"/>
    </xf>
    <xf numFmtId="164" fontId="0" fillId="0" borderId="0" xfId="0" applyNumberFormat="1"/>
    <xf numFmtId="0" fontId="2" fillId="0" borderId="4" xfId="0" applyFont="1" applyBorder="1"/>
    <xf numFmtId="0" fontId="21" fillId="3" borderId="12" xfId="17" applyFont="1" applyAlignment="1">
      <alignment horizontal="center"/>
    </xf>
    <xf numFmtId="0" fontId="22" fillId="0" borderId="0" xfId="0" applyFont="1" applyAlignment="1">
      <alignment horizontal="center"/>
    </xf>
    <xf numFmtId="10" fontId="21" fillId="3" borderId="12" xfId="17" applyNumberFormat="1" applyFont="1" applyAlignment="1">
      <alignment horizontal="center" vertical="center"/>
    </xf>
    <xf numFmtId="10" fontId="2" fillId="0" borderId="0" xfId="2" applyNumberFormat="1" applyFont="1" applyFill="1" applyBorder="1" applyAlignment="1">
      <alignment horizontal="center" vertical="center"/>
    </xf>
    <xf numFmtId="0" fontId="2" fillId="0" borderId="5" xfId="0" applyFont="1" applyBorder="1"/>
    <xf numFmtId="0" fontId="17" fillId="0" borderId="0" xfId="0" applyFont="1"/>
    <xf numFmtId="10" fontId="2" fillId="0" borderId="0" xfId="2" applyNumberFormat="1" applyFont="1"/>
    <xf numFmtId="10" fontId="8" fillId="3" borderId="12" xfId="17" applyNumberFormat="1" applyAlignment="1">
      <alignment horizontal="center" vertical="center" wrapText="1"/>
    </xf>
    <xf numFmtId="0" fontId="2" fillId="0" borderId="0" xfId="0" applyFont="1" applyAlignment="1">
      <alignment wrapText="1"/>
    </xf>
    <xf numFmtId="0" fontId="24" fillId="0" borderId="0" xfId="0" applyFont="1"/>
    <xf numFmtId="0" fontId="25" fillId="0" borderId="0" xfId="0" applyFont="1"/>
    <xf numFmtId="10" fontId="8" fillId="0" borderId="0" xfId="17" applyNumberFormat="1" applyFill="1" applyBorder="1" applyAlignment="1">
      <alignment horizontal="center" vertical="center" wrapText="1"/>
    </xf>
    <xf numFmtId="10" fontId="8" fillId="0" borderId="0" xfId="17" applyNumberFormat="1" applyFill="1" applyBorder="1" applyAlignment="1">
      <alignment horizontal="center" vertical="center"/>
    </xf>
    <xf numFmtId="10" fontId="21" fillId="0" borderId="0" xfId="17" applyNumberFormat="1" applyFont="1" applyFill="1" applyBorder="1" applyAlignment="1">
      <alignment horizontal="center" vertical="center"/>
    </xf>
    <xf numFmtId="0" fontId="26" fillId="0" borderId="5" xfId="0" applyFont="1" applyBorder="1"/>
    <xf numFmtId="0" fontId="0" fillId="8" borderId="0" xfId="0" applyFill="1"/>
    <xf numFmtId="0" fontId="27" fillId="8" borderId="0" xfId="0" applyFont="1" applyFill="1" applyAlignment="1">
      <alignment vertical="center" wrapText="1"/>
    </xf>
    <xf numFmtId="0" fontId="0" fillId="8" borderId="0" xfId="0" applyFill="1" applyAlignment="1">
      <alignment wrapText="1"/>
    </xf>
    <xf numFmtId="0" fontId="2" fillId="0" borderId="17" xfId="0" applyFont="1" applyBorder="1"/>
    <xf numFmtId="9" fontId="0" fillId="0" borderId="0" xfId="2" applyFont="1"/>
    <xf numFmtId="0" fontId="0" fillId="0" borderId="32" xfId="0" applyBorder="1" applyAlignment="1">
      <alignment horizontal="center"/>
    </xf>
    <xf numFmtId="9" fontId="0" fillId="0" borderId="32" xfId="2" applyFont="1" applyBorder="1"/>
    <xf numFmtId="0" fontId="27" fillId="0" borderId="29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34" xfId="0" applyFont="1" applyBorder="1" applyAlignment="1">
      <alignment vertical="center" wrapText="1"/>
    </xf>
    <xf numFmtId="0" fontId="0" fillId="0" borderId="29" xfId="0" applyBorder="1"/>
    <xf numFmtId="0" fontId="2" fillId="0" borderId="30" xfId="0" applyFont="1" applyBorder="1"/>
    <xf numFmtId="0" fontId="20" fillId="0" borderId="0" xfId="0" applyFont="1" applyAlignment="1">
      <alignment vertical="center"/>
    </xf>
    <xf numFmtId="0" fontId="20" fillId="0" borderId="5" xfId="0" applyFont="1" applyBorder="1" applyAlignment="1">
      <alignment vertical="center"/>
    </xf>
    <xf numFmtId="0" fontId="27" fillId="0" borderId="40" xfId="0" applyFont="1" applyBorder="1" applyAlignment="1">
      <alignment vertical="center" wrapText="1"/>
    </xf>
    <xf numFmtId="0" fontId="1" fillId="0" borderId="0" xfId="3" applyAlignment="1">
      <alignment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9" fontId="28" fillId="0" borderId="32" xfId="0" applyNumberFormat="1" applyFont="1" applyBorder="1" applyAlignment="1">
      <alignment horizontal="center" vertical="center"/>
    </xf>
    <xf numFmtId="165" fontId="8" fillId="0" borderId="0" xfId="1" applyNumberFormat="1" applyFont="1" applyFill="1" applyBorder="1"/>
    <xf numFmtId="44" fontId="8" fillId="0" borderId="12" xfId="17" applyNumberFormat="1" applyFill="1"/>
    <xf numFmtId="165" fontId="8" fillId="0" borderId="12" xfId="1" applyNumberFormat="1" applyFont="1" applyFill="1" applyBorder="1"/>
    <xf numFmtId="0" fontId="0" fillId="0" borderId="13" xfId="0" applyBorder="1" applyAlignment="1">
      <alignment horizontal="center"/>
    </xf>
    <xf numFmtId="165" fontId="0" fillId="0" borderId="0" xfId="1" applyNumberFormat="1" applyFont="1"/>
    <xf numFmtId="165" fontId="0" fillId="0" borderId="18" xfId="1" applyNumberFormat="1" applyFont="1" applyBorder="1"/>
    <xf numFmtId="167" fontId="1" fillId="7" borderId="0" xfId="21" applyNumberFormat="1" applyBorder="1"/>
    <xf numFmtId="43" fontId="1" fillId="7" borderId="0" xfId="21" applyNumberFormat="1" applyBorder="1"/>
    <xf numFmtId="43" fontId="2" fillId="0" borderId="11" xfId="0" applyNumberFormat="1" applyFont="1" applyBorder="1"/>
    <xf numFmtId="165" fontId="0" fillId="0" borderId="17" xfId="1" applyNumberFormat="1" applyFont="1" applyBorder="1"/>
    <xf numFmtId="0" fontId="5" fillId="9" borderId="41" xfId="0" applyFont="1" applyFill="1" applyBorder="1"/>
    <xf numFmtId="0" fontId="5" fillId="9" borderId="51" xfId="0" applyFont="1" applyFill="1" applyBorder="1"/>
    <xf numFmtId="0" fontId="5" fillId="8" borderId="46" xfId="0" applyFont="1" applyFill="1" applyBorder="1"/>
    <xf numFmtId="0" fontId="5" fillId="8" borderId="51" xfId="0" applyFont="1" applyFill="1" applyBorder="1"/>
    <xf numFmtId="0" fontId="5" fillId="8" borderId="52" xfId="0" applyFont="1" applyFill="1" applyBorder="1"/>
    <xf numFmtId="0" fontId="5" fillId="8" borderId="54" xfId="0" applyFont="1" applyFill="1" applyBorder="1"/>
    <xf numFmtId="0" fontId="5" fillId="8" borderId="61" xfId="0" applyFont="1" applyFill="1" applyBorder="1"/>
    <xf numFmtId="0" fontId="5" fillId="10" borderId="41" xfId="0" applyFont="1" applyFill="1" applyBorder="1"/>
    <xf numFmtId="0" fontId="5" fillId="10" borderId="42" xfId="0" applyFont="1" applyFill="1" applyBorder="1"/>
    <xf numFmtId="0" fontId="5" fillId="10" borderId="43" xfId="0" applyFont="1" applyFill="1" applyBorder="1"/>
    <xf numFmtId="0" fontId="5" fillId="10" borderId="44" xfId="0" applyFont="1" applyFill="1" applyBorder="1"/>
    <xf numFmtId="0" fontId="5" fillId="10" borderId="45" xfId="0" applyFont="1" applyFill="1" applyBorder="1"/>
    <xf numFmtId="0" fontId="5" fillId="10" borderId="0" xfId="0" applyFont="1" applyFill="1"/>
    <xf numFmtId="0" fontId="22" fillId="10" borderId="0" xfId="0" applyFont="1" applyFill="1"/>
    <xf numFmtId="0" fontId="5" fillId="10" borderId="46" xfId="0" applyFont="1" applyFill="1" applyBorder="1"/>
    <xf numFmtId="0" fontId="5" fillId="10" borderId="47" xfId="0" applyFont="1" applyFill="1" applyBorder="1"/>
    <xf numFmtId="1" fontId="5" fillId="10" borderId="48" xfId="0" applyNumberFormat="1" applyFont="1" applyFill="1" applyBorder="1"/>
    <xf numFmtId="0" fontId="5" fillId="10" borderId="48" xfId="0" applyFont="1" applyFill="1" applyBorder="1"/>
    <xf numFmtId="43" fontId="5" fillId="10" borderId="48" xfId="0" applyNumberFormat="1" applyFont="1" applyFill="1" applyBorder="1"/>
    <xf numFmtId="9" fontId="5" fillId="10" borderId="48" xfId="0" applyNumberFormat="1" applyFont="1" applyFill="1" applyBorder="1"/>
    <xf numFmtId="43" fontId="5" fillId="10" borderId="49" xfId="0" applyNumberFormat="1" applyFont="1" applyFill="1" applyBorder="1"/>
    <xf numFmtId="43" fontId="5" fillId="10" borderId="50" xfId="0" applyNumberFormat="1" applyFont="1" applyFill="1" applyBorder="1"/>
    <xf numFmtId="0" fontId="5" fillId="10" borderId="51" xfId="0" applyFont="1" applyFill="1" applyBorder="1"/>
    <xf numFmtId="0" fontId="5" fillId="10" borderId="52" xfId="0" applyFont="1" applyFill="1" applyBorder="1"/>
    <xf numFmtId="0" fontId="5" fillId="10" borderId="10" xfId="0" applyFont="1" applyFill="1" applyBorder="1"/>
    <xf numFmtId="1" fontId="5" fillId="10" borderId="51" xfId="0" applyNumberFormat="1" applyFont="1" applyFill="1" applyBorder="1"/>
    <xf numFmtId="43" fontId="5" fillId="10" borderId="51" xfId="0" applyNumberFormat="1" applyFont="1" applyFill="1" applyBorder="1"/>
    <xf numFmtId="9" fontId="5" fillId="10" borderId="51" xfId="0" applyNumberFormat="1" applyFont="1" applyFill="1" applyBorder="1"/>
    <xf numFmtId="43" fontId="5" fillId="10" borderId="9" xfId="0" applyNumberFormat="1" applyFont="1" applyFill="1" applyBorder="1"/>
    <xf numFmtId="43" fontId="5" fillId="10" borderId="53" xfId="0" applyNumberFormat="1" applyFont="1" applyFill="1" applyBorder="1"/>
    <xf numFmtId="0" fontId="5" fillId="10" borderId="54" xfId="0" applyFont="1" applyFill="1" applyBorder="1"/>
    <xf numFmtId="0" fontId="5" fillId="10" borderId="19" xfId="0" applyFont="1" applyFill="1" applyBorder="1"/>
    <xf numFmtId="1" fontId="5" fillId="10" borderId="55" xfId="0" applyNumberFormat="1" applyFont="1" applyFill="1" applyBorder="1"/>
    <xf numFmtId="0" fontId="5" fillId="10" borderId="55" xfId="0" applyFont="1" applyFill="1" applyBorder="1"/>
    <xf numFmtId="9" fontId="5" fillId="10" borderId="55" xfId="0" applyNumberFormat="1" applyFont="1" applyFill="1" applyBorder="1"/>
    <xf numFmtId="43" fontId="5" fillId="10" borderId="14" xfId="0" applyNumberFormat="1" applyFont="1" applyFill="1" applyBorder="1"/>
    <xf numFmtId="43" fontId="5" fillId="10" borderId="56" xfId="0" applyNumberFormat="1" applyFont="1" applyFill="1" applyBorder="1"/>
    <xf numFmtId="0" fontId="5" fillId="10" borderId="57" xfId="0" applyFont="1" applyFill="1" applyBorder="1"/>
    <xf numFmtId="1" fontId="5" fillId="10" borderId="58" xfId="0" applyNumberFormat="1" applyFont="1" applyFill="1" applyBorder="1"/>
    <xf numFmtId="0" fontId="5" fillId="10" borderId="58" xfId="0" applyFont="1" applyFill="1" applyBorder="1"/>
    <xf numFmtId="9" fontId="5" fillId="10" borderId="58" xfId="0" applyNumberFormat="1" applyFont="1" applyFill="1" applyBorder="1"/>
    <xf numFmtId="43" fontId="5" fillId="10" borderId="59" xfId="0" applyNumberFormat="1" applyFont="1" applyFill="1" applyBorder="1"/>
    <xf numFmtId="43" fontId="5" fillId="10" borderId="60" xfId="0" applyNumberFormat="1" applyFont="1" applyFill="1" applyBorder="1"/>
    <xf numFmtId="0" fontId="5" fillId="10" borderId="61" xfId="0" applyFont="1" applyFill="1" applyBorder="1"/>
    <xf numFmtId="165" fontId="0" fillId="0" borderId="2" xfId="0" applyNumberFormat="1" applyBorder="1" applyAlignment="1">
      <alignment vertical="center"/>
    </xf>
    <xf numFmtId="0" fontId="8" fillId="3" borderId="12" xfId="17" applyAlignment="1">
      <alignment wrapText="1"/>
    </xf>
    <xf numFmtId="0" fontId="5" fillId="0" borderId="4" xfId="0" applyFont="1" applyBorder="1"/>
    <xf numFmtId="0" fontId="5" fillId="0" borderId="0" xfId="0" applyFont="1"/>
    <xf numFmtId="0" fontId="5" fillId="0" borderId="5" xfId="0" applyFont="1" applyBorder="1"/>
    <xf numFmtId="165" fontId="0" fillId="0" borderId="0" xfId="1" applyNumberFormat="1" applyFont="1" applyBorder="1" applyAlignment="1">
      <alignment vertical="center"/>
    </xf>
    <xf numFmtId="0" fontId="31" fillId="0" borderId="51" xfId="0" applyFont="1" applyBorder="1" applyAlignment="1">
      <alignment horizontal="center"/>
    </xf>
    <xf numFmtId="167" fontId="2" fillId="0" borderId="11" xfId="0" applyNumberFormat="1" applyFont="1" applyBorder="1"/>
    <xf numFmtId="167" fontId="0" fillId="0" borderId="5" xfId="0" applyNumberFormat="1" applyBorder="1"/>
    <xf numFmtId="167" fontId="0" fillId="0" borderId="2" xfId="0" applyNumberFormat="1" applyBorder="1" applyAlignment="1">
      <alignment vertical="center"/>
    </xf>
    <xf numFmtId="44" fontId="31" fillId="0" borderId="51" xfId="0" applyNumberFormat="1" applyFont="1" applyBorder="1"/>
    <xf numFmtId="0" fontId="31" fillId="0" borderId="51" xfId="0" applyFont="1" applyBorder="1" applyAlignment="1">
      <alignment horizontal="center" vertical="center"/>
    </xf>
    <xf numFmtId="0" fontId="0" fillId="0" borderId="0" xfId="0" applyAlignment="1">
      <alignment vertical="top" wrapText="1"/>
    </xf>
    <xf numFmtId="169" fontId="0" fillId="0" borderId="5" xfId="0" applyNumberFormat="1" applyBorder="1"/>
    <xf numFmtId="0" fontId="2" fillId="0" borderId="0" xfId="0" applyFont="1" applyAlignment="1">
      <alignment vertical="top" wrapText="1"/>
    </xf>
    <xf numFmtId="44" fontId="0" fillId="0" borderId="51" xfId="0" applyNumberFormat="1" applyBorder="1"/>
    <xf numFmtId="0" fontId="32" fillId="11" borderId="51" xfId="0" applyFont="1" applyFill="1" applyBorder="1" applyAlignment="1">
      <alignment horizontal="center" vertical="center" wrapText="1"/>
    </xf>
    <xf numFmtId="10" fontId="8" fillId="3" borderId="12" xfId="17" applyNumberFormat="1" applyAlignment="1">
      <alignment horizontal="center" vertical="top" wrapText="1"/>
    </xf>
    <xf numFmtId="170" fontId="8" fillId="3" borderId="12" xfId="17" applyNumberFormat="1" applyAlignment="1">
      <alignment horizontal="center" vertical="center"/>
    </xf>
    <xf numFmtId="171" fontId="8" fillId="3" borderId="12" xfId="17" applyNumberFormat="1" applyAlignment="1">
      <alignment horizontal="center" vertical="center"/>
    </xf>
    <xf numFmtId="0" fontId="0" fillId="0" borderId="51" xfId="0" applyBorder="1"/>
    <xf numFmtId="44" fontId="32" fillId="12" borderId="62" xfId="0" applyNumberFormat="1" applyFont="1" applyFill="1" applyBorder="1" applyAlignment="1">
      <alignment vertical="center"/>
    </xf>
    <xf numFmtId="0" fontId="0" fillId="0" borderId="51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/>
    </xf>
    <xf numFmtId="172" fontId="0" fillId="0" borderId="51" xfId="0" applyNumberFormat="1" applyBorder="1"/>
    <xf numFmtId="44" fontId="2" fillId="12" borderId="62" xfId="0" applyNumberFormat="1" applyFont="1" applyFill="1" applyBorder="1"/>
    <xf numFmtId="172" fontId="0" fillId="12" borderId="51" xfId="0" applyNumberFormat="1" applyFill="1" applyBorder="1"/>
    <xf numFmtId="0" fontId="33" fillId="0" borderId="51" xfId="0" applyFont="1" applyBorder="1" applyAlignment="1">
      <alignment horizontal="center" vertical="center" wrapText="1"/>
    </xf>
    <xf numFmtId="0" fontId="33" fillId="0" borderId="51" xfId="0" applyFont="1" applyBorder="1" applyAlignment="1">
      <alignment horizontal="center" vertical="center"/>
    </xf>
    <xf numFmtId="0" fontId="33" fillId="13" borderId="51" xfId="0" applyFont="1" applyFill="1" applyBorder="1" applyAlignment="1">
      <alignment horizontal="left" vertical="center"/>
    </xf>
    <xf numFmtId="0" fontId="5" fillId="0" borderId="51" xfId="0" applyFont="1" applyBorder="1" applyAlignment="1">
      <alignment horizontal="left" vertical="center"/>
    </xf>
    <xf numFmtId="10" fontId="33" fillId="13" borderId="51" xfId="0" applyNumberFormat="1" applyFont="1" applyFill="1" applyBorder="1" applyAlignment="1">
      <alignment horizontal="left" vertical="center"/>
    </xf>
    <xf numFmtId="0" fontId="22" fillId="10" borderId="51" xfId="0" applyFont="1" applyFill="1" applyBorder="1" applyAlignment="1">
      <alignment horizontal="center" vertical="center" wrapText="1"/>
    </xf>
    <xf numFmtId="0" fontId="34" fillId="10" borderId="51" xfId="0" applyFont="1" applyFill="1" applyBorder="1" applyAlignment="1">
      <alignment horizontal="center" vertical="center"/>
    </xf>
    <xf numFmtId="0" fontId="34" fillId="10" borderId="5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33" fillId="0" borderId="66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1" fillId="0" borderId="55" xfId="0" applyFont="1" applyBorder="1" applyAlignment="1">
      <alignment horizontal="center"/>
    </xf>
    <xf numFmtId="0" fontId="31" fillId="0" borderId="0" xfId="0" applyFont="1" applyAlignment="1">
      <alignment horizontal="center"/>
    </xf>
    <xf numFmtId="44" fontId="31" fillId="0" borderId="0" xfId="0" applyNumberFormat="1" applyFont="1"/>
    <xf numFmtId="44" fontId="31" fillId="0" borderId="0" xfId="0" applyNumberFormat="1" applyFont="1" applyAlignment="1">
      <alignment horizontal="center"/>
    </xf>
    <xf numFmtId="172" fontId="0" fillId="0" borderId="0" xfId="0" applyNumberFormat="1"/>
    <xf numFmtId="0" fontId="34" fillId="10" borderId="9" xfId="0" applyFont="1" applyFill="1" applyBorder="1" applyAlignment="1">
      <alignment horizontal="center" vertical="center" wrapText="1"/>
    </xf>
    <xf numFmtId="44" fontId="2" fillId="12" borderId="51" xfId="0" applyNumberFormat="1" applyFont="1" applyFill="1" applyBorder="1"/>
    <xf numFmtId="44" fontId="31" fillId="0" borderId="51" xfId="0" applyNumberFormat="1" applyFont="1" applyBorder="1" applyAlignment="1">
      <alignment horizontal="left"/>
    </xf>
    <xf numFmtId="0" fontId="5" fillId="0" borderId="51" xfId="0" applyFont="1" applyBorder="1" applyAlignment="1">
      <alignment horizontal="center" vertical="center" wrapText="1"/>
    </xf>
    <xf numFmtId="10" fontId="33" fillId="0" borderId="51" xfId="0" applyNumberFormat="1" applyFont="1" applyBorder="1" applyAlignment="1">
      <alignment horizontal="center" vertical="center"/>
    </xf>
    <xf numFmtId="4" fontId="33" fillId="0" borderId="51" xfId="0" applyNumberFormat="1" applyFont="1" applyBorder="1" applyAlignment="1">
      <alignment horizontal="center" vertical="center"/>
    </xf>
    <xf numFmtId="2" fontId="33" fillId="0" borderId="51" xfId="0" applyNumberFormat="1" applyFont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center" vertical="center"/>
    </xf>
    <xf numFmtId="8" fontId="8" fillId="0" borderId="0" xfId="17" applyNumberFormat="1" applyFill="1" applyBorder="1" applyAlignment="1">
      <alignment vertical="center"/>
    </xf>
    <xf numFmtId="168" fontId="33" fillId="0" borderId="51" xfId="0" applyNumberFormat="1" applyFont="1" applyBorder="1" applyAlignment="1">
      <alignment horizontal="center" vertical="center" wrapText="1"/>
    </xf>
    <xf numFmtId="1" fontId="33" fillId="0" borderId="51" xfId="0" applyNumberFormat="1" applyFont="1" applyBorder="1" applyAlignment="1">
      <alignment horizontal="center" vertical="center" wrapText="1"/>
    </xf>
    <xf numFmtId="44" fontId="32" fillId="12" borderId="62" xfId="0" applyNumberFormat="1" applyFont="1" applyFill="1" applyBorder="1" applyAlignment="1">
      <alignment horizontal="left"/>
    </xf>
    <xf numFmtId="0" fontId="5" fillId="0" borderId="51" xfId="0" applyFont="1" applyBorder="1" applyAlignment="1">
      <alignment horizontal="center" vertical="center"/>
    </xf>
    <xf numFmtId="9" fontId="32" fillId="0" borderId="51" xfId="2" applyFont="1" applyFill="1" applyBorder="1" applyAlignment="1">
      <alignment horizontal="center"/>
    </xf>
    <xf numFmtId="9" fontId="2" fillId="0" borderId="51" xfId="2" applyFont="1" applyFill="1" applyBorder="1"/>
    <xf numFmtId="9" fontId="33" fillId="0" borderId="51" xfId="2" applyFont="1" applyFill="1" applyBorder="1" applyAlignment="1">
      <alignment horizontal="center" vertical="center" wrapText="1"/>
    </xf>
    <xf numFmtId="2" fontId="33" fillId="0" borderId="51" xfId="0" applyNumberFormat="1" applyFont="1" applyBorder="1" applyAlignment="1">
      <alignment horizontal="center" vertical="center"/>
    </xf>
    <xf numFmtId="2" fontId="0" fillId="0" borderId="51" xfId="0" applyNumberFormat="1" applyBorder="1" applyAlignment="1">
      <alignment horizontal="center" vertical="center" wrapText="1"/>
    </xf>
    <xf numFmtId="0" fontId="2" fillId="11" borderId="51" xfId="0" applyFont="1" applyFill="1" applyBorder="1" applyAlignment="1">
      <alignment horizontal="center" vertical="center" wrapText="1"/>
    </xf>
    <xf numFmtId="0" fontId="2" fillId="11" borderId="51" xfId="0" applyFont="1" applyFill="1" applyBorder="1" applyAlignment="1">
      <alignment horizontal="center" vertical="center"/>
    </xf>
    <xf numFmtId="0" fontId="32" fillId="11" borderId="55" xfId="0" applyFont="1" applyFill="1" applyBorder="1" applyAlignment="1">
      <alignment vertical="center"/>
    </xf>
    <xf numFmtId="0" fontId="32" fillId="11" borderId="62" xfId="0" applyFont="1" applyFill="1" applyBorder="1" applyAlignment="1">
      <alignment vertical="center"/>
    </xf>
    <xf numFmtId="8" fontId="36" fillId="0" borderId="0" xfId="17" applyNumberFormat="1" applyFont="1" applyFill="1" applyBorder="1" applyAlignment="1">
      <alignment vertical="center"/>
    </xf>
    <xf numFmtId="0" fontId="33" fillId="0" borderId="9" xfId="0" applyFont="1" applyBorder="1" applyAlignment="1">
      <alignment horizontal="center" vertical="center" wrapText="1"/>
    </xf>
    <xf numFmtId="2" fontId="33" fillId="0" borderId="9" xfId="0" applyNumberFormat="1" applyFont="1" applyBorder="1" applyAlignment="1">
      <alignment horizontal="center" vertical="center" wrapText="1"/>
    </xf>
    <xf numFmtId="0" fontId="34" fillId="4" borderId="67" xfId="0" applyFont="1" applyFill="1" applyBorder="1" applyAlignment="1">
      <alignment horizontal="center" vertical="center" wrapText="1"/>
    </xf>
    <xf numFmtId="2" fontId="2" fillId="4" borderId="68" xfId="0" applyNumberFormat="1" applyFont="1" applyFill="1" applyBorder="1" applyAlignment="1">
      <alignment horizontal="center" vertical="center"/>
    </xf>
    <xf numFmtId="2" fontId="2" fillId="4" borderId="69" xfId="0" applyNumberFormat="1" applyFont="1" applyFill="1" applyBorder="1" applyAlignment="1">
      <alignment horizontal="center" vertical="center"/>
    </xf>
    <xf numFmtId="0" fontId="27" fillId="0" borderId="27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0" fillId="0" borderId="0" xfId="0" applyAlignment="1">
      <alignment horizontal="center"/>
    </xf>
    <xf numFmtId="10" fontId="12" fillId="3" borderId="14" xfId="17" applyNumberFormat="1" applyFont="1" applyBorder="1" applyAlignment="1">
      <alignment horizontal="center" vertical="center"/>
    </xf>
    <xf numFmtId="10" fontId="12" fillId="3" borderId="18" xfId="17" applyNumberFormat="1" applyFont="1" applyBorder="1" applyAlignment="1">
      <alignment horizontal="center" vertical="center"/>
    </xf>
    <xf numFmtId="10" fontId="12" fillId="3" borderId="19" xfId="17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18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wrapText="1"/>
    </xf>
    <xf numFmtId="10" fontId="12" fillId="3" borderId="9" xfId="17" applyNumberFormat="1" applyFont="1" applyBorder="1" applyAlignment="1">
      <alignment horizontal="center" vertical="center"/>
    </xf>
    <xf numFmtId="10" fontId="12" fillId="3" borderId="17" xfId="17" applyNumberFormat="1" applyFont="1" applyBorder="1" applyAlignment="1">
      <alignment horizontal="center" vertical="center"/>
    </xf>
    <xf numFmtId="10" fontId="12" fillId="3" borderId="10" xfId="17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27" fillId="0" borderId="37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27" fillId="0" borderId="22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 wrapText="1"/>
    </xf>
    <xf numFmtId="0" fontId="27" fillId="0" borderId="24" xfId="0" applyFont="1" applyBorder="1" applyAlignment="1">
      <alignment horizontal="left" vertical="center" wrapText="1"/>
    </xf>
    <xf numFmtId="0" fontId="27" fillId="0" borderId="23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/>
    </xf>
    <xf numFmtId="0" fontId="27" fillId="0" borderId="28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19" fillId="2" borderId="0" xfId="0" applyFont="1" applyFill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19" fillId="2" borderId="0" xfId="0" applyFont="1" applyFill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2" fillId="0" borderId="51" xfId="0" applyFont="1" applyBorder="1" applyAlignment="1">
      <alignment horizontal="center"/>
    </xf>
    <xf numFmtId="0" fontId="3" fillId="10" borderId="9" xfId="0" applyFont="1" applyFill="1" applyBorder="1" applyAlignment="1">
      <alignment horizontal="center" vertical="center"/>
    </xf>
    <xf numFmtId="0" fontId="3" fillId="10" borderId="17" xfId="0" applyFont="1" applyFill="1" applyBorder="1" applyAlignment="1">
      <alignment horizontal="center" vertical="center"/>
    </xf>
    <xf numFmtId="0" fontId="3" fillId="10" borderId="10" xfId="0" applyFont="1" applyFill="1" applyBorder="1" applyAlignment="1">
      <alignment horizontal="center" vertical="center"/>
    </xf>
    <xf numFmtId="8" fontId="38" fillId="0" borderId="51" xfId="17" applyNumberFormat="1" applyFont="1" applyFill="1" applyBorder="1" applyAlignment="1">
      <alignment horizontal="center" vertical="center"/>
    </xf>
    <xf numFmtId="8" fontId="5" fillId="0" borderId="51" xfId="17" applyNumberFormat="1" applyFont="1" applyFill="1" applyBorder="1" applyAlignment="1">
      <alignment horizontal="center" vertical="center"/>
    </xf>
    <xf numFmtId="0" fontId="38" fillId="0" borderId="51" xfId="0" applyFont="1" applyBorder="1" applyAlignment="1">
      <alignment horizontal="center" vertical="center"/>
    </xf>
    <xf numFmtId="0" fontId="0" fillId="4" borderId="51" xfId="0" applyFill="1" applyBorder="1" applyAlignment="1">
      <alignment vertical="center"/>
    </xf>
    <xf numFmtId="0" fontId="2" fillId="4" borderId="51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34" fillId="0" borderId="51" xfId="0" applyFont="1" applyFill="1" applyBorder="1" applyAlignment="1">
      <alignment horizontal="left" vertical="center"/>
    </xf>
    <xf numFmtId="0" fontId="33" fillId="0" borderId="51" xfId="0" applyFont="1" applyFill="1" applyBorder="1" applyAlignment="1">
      <alignment horizontal="left" vertical="center"/>
    </xf>
    <xf numFmtId="0" fontId="33" fillId="0" borderId="51" xfId="0" applyFont="1" applyBorder="1" applyAlignment="1">
      <alignment horizontal="left" vertical="top"/>
    </xf>
    <xf numFmtId="0" fontId="33" fillId="0" borderId="9" xfId="0" applyFont="1" applyBorder="1" applyAlignment="1">
      <alignment horizontal="center" vertical="top"/>
    </xf>
    <xf numFmtId="0" fontId="33" fillId="0" borderId="10" xfId="0" applyFont="1" applyBorder="1" applyAlignment="1">
      <alignment horizontal="center" vertical="top"/>
    </xf>
    <xf numFmtId="0" fontId="18" fillId="0" borderId="9" xfId="0" applyFont="1" applyBorder="1" applyAlignment="1">
      <alignment horizontal="center" vertical="top"/>
    </xf>
    <xf numFmtId="0" fontId="18" fillId="0" borderId="10" xfId="0" applyFont="1" applyBorder="1" applyAlignment="1">
      <alignment horizontal="center" vertical="top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33" fillId="0" borderId="51" xfId="0" applyFont="1" applyBorder="1" applyAlignment="1">
      <alignment horizontal="left" vertical="top"/>
    </xf>
    <xf numFmtId="0" fontId="34" fillId="10" borderId="9" xfId="0" applyFont="1" applyFill="1" applyBorder="1" applyAlignment="1">
      <alignment horizontal="center" vertical="top"/>
    </xf>
    <xf numFmtId="0" fontId="34" fillId="10" borderId="10" xfId="0" applyFont="1" applyFill="1" applyBorder="1" applyAlignment="1">
      <alignment horizontal="center" vertical="top"/>
    </xf>
    <xf numFmtId="0" fontId="3" fillId="10" borderId="63" xfId="0" applyFont="1" applyFill="1" applyBorder="1" applyAlignment="1">
      <alignment horizontal="center" vertical="center"/>
    </xf>
    <xf numFmtId="0" fontId="3" fillId="10" borderId="64" xfId="0" applyFont="1" applyFill="1" applyBorder="1" applyAlignment="1">
      <alignment horizontal="center" vertical="center"/>
    </xf>
    <xf numFmtId="0" fontId="3" fillId="10" borderId="65" xfId="0" applyFont="1" applyFill="1" applyBorder="1" applyAlignment="1">
      <alignment horizontal="center" vertical="center"/>
    </xf>
    <xf numFmtId="0" fontId="0" fillId="0" borderId="70" xfId="0" applyBorder="1" applyAlignment="1">
      <alignment horizontal="left" vertical="center"/>
    </xf>
    <xf numFmtId="0" fontId="22" fillId="0" borderId="51" xfId="0" applyFont="1" applyFill="1" applyBorder="1" applyAlignment="1">
      <alignment horizontal="left" vertical="center"/>
    </xf>
    <xf numFmtId="0" fontId="34" fillId="0" borderId="51" xfId="0" applyFont="1" applyFill="1" applyBorder="1" applyAlignment="1">
      <alignment horizontal="left" vertical="center" wrapText="1"/>
    </xf>
    <xf numFmtId="0" fontId="5" fillId="0" borderId="51" xfId="0" applyFont="1" applyFill="1" applyBorder="1" applyAlignment="1">
      <alignment horizontal="left" vertical="center"/>
    </xf>
    <xf numFmtId="0" fontId="34" fillId="0" borderId="51" xfId="0" applyFont="1" applyFill="1" applyBorder="1" applyAlignment="1">
      <alignment horizontal="center" vertical="center"/>
    </xf>
    <xf numFmtId="0" fontId="34" fillId="0" borderId="9" xfId="0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8" fontId="38" fillId="0" borderId="55" xfId="17" applyNumberFormat="1" applyFont="1" applyFill="1" applyBorder="1" applyAlignment="1">
      <alignment horizontal="center" vertical="center"/>
    </xf>
    <xf numFmtId="8" fontId="38" fillId="0" borderId="62" xfId="17" applyNumberFormat="1" applyFont="1" applyFill="1" applyBorder="1" applyAlignment="1">
      <alignment horizontal="center" vertical="center"/>
    </xf>
    <xf numFmtId="8" fontId="5" fillId="0" borderId="55" xfId="17" applyNumberFormat="1" applyFont="1" applyFill="1" applyBorder="1" applyAlignment="1">
      <alignment horizontal="center" vertical="center"/>
    </xf>
    <xf numFmtId="8" fontId="5" fillId="0" borderId="62" xfId="17" applyNumberFormat="1" applyFont="1" applyFill="1" applyBorder="1" applyAlignment="1">
      <alignment horizontal="center" vertical="center"/>
    </xf>
    <xf numFmtId="0" fontId="37" fillId="0" borderId="51" xfId="0" applyFont="1" applyBorder="1" applyAlignment="1">
      <alignment horizontal="center" vertical="center" wrapText="1"/>
    </xf>
    <xf numFmtId="0" fontId="33" fillId="0" borderId="51" xfId="0" applyFont="1" applyFill="1" applyBorder="1" applyAlignment="1">
      <alignment horizontal="center" vertical="center"/>
    </xf>
    <xf numFmtId="0" fontId="33" fillId="0" borderId="9" xfId="0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2" xfId="1" applyNumberFormat="1" applyFont="1" applyFill="1" applyBorder="1" applyAlignment="1">
      <alignment horizontal="center" vertical="center"/>
    </xf>
    <xf numFmtId="44" fontId="8" fillId="3" borderId="12" xfId="17" applyNumberForma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0" fontId="33" fillId="0" borderId="51" xfId="0" applyNumberFormat="1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Alignment="1">
      <alignment horizontal="center" vertical="center"/>
    </xf>
  </cellXfs>
  <cellStyles count="25">
    <cellStyle name="40% - Ênfase1" xfId="21" builtinId="31"/>
    <cellStyle name="Cálculo" xfId="18" builtinId="22"/>
    <cellStyle name="Célula de Verificação" xfId="20" builtinId="23"/>
    <cellStyle name="Célula Vinculada" xfId="19" builtinId="24"/>
    <cellStyle name="Entrada" xfId="17" builtinId="20" customBuiltin="1"/>
    <cellStyle name="Entrada 2" xfId="22" xr:uid="{00000000-0005-0000-0000-000005000000}"/>
    <cellStyle name="Hiperlink" xfId="5" builtinId="8" hidden="1"/>
    <cellStyle name="Hiperlink" xfId="7" builtinId="8" hidden="1"/>
    <cellStyle name="Hiperlink" xfId="9" builtinId="8" hidden="1"/>
    <cellStyle name="Hiperlink" xfId="11" builtinId="8" hidden="1"/>
    <cellStyle name="Hiperlink" xfId="13" builtinId="8" hidden="1"/>
    <cellStyle name="Hiperlink" xfId="15" builtinId="8" hidden="1"/>
    <cellStyle name="Hiperlink Visitado" xfId="6" builtinId="9" hidden="1"/>
    <cellStyle name="Hiperlink Visitado" xfId="8" builtinId="9" hidden="1"/>
    <cellStyle name="Hiperlink Visitado" xfId="10" builtinId="9" hidden="1"/>
    <cellStyle name="Hiperlink Visitado" xfId="12" builtinId="9" hidden="1"/>
    <cellStyle name="Hiperlink Visitado" xfId="14" builtinId="9" hidden="1"/>
    <cellStyle name="Hiperlink Visitado" xfId="16" builtinId="9" hidden="1"/>
    <cellStyle name="Moeda" xfId="4" builtinId="4"/>
    <cellStyle name="Moeda 2" xfId="23" xr:uid="{00000000-0005-0000-0000-000014000000}"/>
    <cellStyle name="Normal" xfId="0" builtinId="0"/>
    <cellStyle name="Normal 2" xfId="3" xr:uid="{00000000-0005-0000-0000-000016000000}"/>
    <cellStyle name="Porcentagem" xfId="2" builtinId="5"/>
    <cellStyle name="Vírgula" xfId="1" builtinId="3"/>
    <cellStyle name="Vírgula 2" xfId="24" xr:uid="{00000000-0005-0000-0000-000018000000}"/>
  </cellStyles>
  <dxfs count="8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worksheet" Target="worksheets/sheet12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9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32015224031421"/>
          <c:y val="0.17919343039530428"/>
          <c:w val="0.77163529937385733"/>
          <c:h val="0.6255644890341046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Resumo!$D$55</c:f>
              <c:strCache>
                <c:ptCount val="1"/>
                <c:pt idx="0">
                  <c:v>Sem pirtobrutinibe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</c:numCache>
            </c:numRef>
          </c:cat>
          <c:val>
            <c:numRef>
              <c:f>Resumo!$D$56:$D$65</c:f>
              <c:numCache>
                <c:formatCode>_(* #,##0.00_);_(* \(#,##0.00\);_(* "-"??_);_(@_)</c:formatCode>
                <c:ptCount val="5"/>
                <c:pt idx="0">
                  <c:v>4110544.4385289042</c:v>
                </c:pt>
                <c:pt idx="1">
                  <c:v>4124866.8092641174</c:v>
                </c:pt>
                <c:pt idx="2">
                  <c:v>4138105.4151356164</c:v>
                </c:pt>
                <c:pt idx="3">
                  <c:v>4150388.9087994657</c:v>
                </c:pt>
                <c:pt idx="4">
                  <c:v>4161902.8822933384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37-47DE-A79F-60FA624662F3}"/>
            </c:ext>
          </c:extLst>
        </c:ser>
        <c:ser>
          <c:idx val="2"/>
          <c:order val="1"/>
          <c:tx>
            <c:strRef>
              <c:f>Resumo!$E$55</c:f>
              <c:strCache>
                <c:ptCount val="1"/>
                <c:pt idx="0">
                  <c:v>Incorporação progressiva- pirtobrutinibe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</c:numCache>
            </c:numRef>
          </c:cat>
          <c:val>
            <c:numRef>
              <c:f>Resumo!$E$56:$E$65</c:f>
              <c:numCache>
                <c:formatCode>_(* #,##0.00_);_(* \(#,##0.00\);_(* "-"??_);_(@_)</c:formatCode>
                <c:ptCount val="5"/>
                <c:pt idx="0">
                  <c:v>13193725.037933065</c:v>
                </c:pt>
                <c:pt idx="1">
                  <c:v>13858018.121687833</c:v>
                </c:pt>
                <c:pt idx="2">
                  <c:v>14522801.580103004</c:v>
                </c:pt>
                <c:pt idx="3">
                  <c:v>15188058.83587864</c:v>
                </c:pt>
                <c:pt idx="4">
                  <c:v>15854067.353402093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37-47DE-A79F-60FA624662F3}"/>
            </c:ext>
          </c:extLst>
        </c:ser>
        <c:ser>
          <c:idx val="0"/>
          <c:order val="2"/>
          <c:tx>
            <c:strRef>
              <c:f>Resumo!$F$55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</c:numCache>
            </c:numRef>
          </c:cat>
          <c:val>
            <c:numRef>
              <c:f>Resumo!$F$56:$F$65</c:f>
            </c:numRef>
          </c:val>
          <c:extLst>
            <c:ext xmlns:c16="http://schemas.microsoft.com/office/drawing/2014/chart" uri="{C3380CC4-5D6E-409C-BE32-E72D297353CC}">
              <c16:uniqueId val="{00000002-DB37-47DE-A79F-60FA624662F3}"/>
            </c:ext>
          </c:extLst>
        </c:ser>
        <c:ser>
          <c:idx val="3"/>
          <c:order val="3"/>
          <c:tx>
            <c:strRef>
              <c:f>Resumo!$G$55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</c:numCache>
            </c:numRef>
          </c:cat>
          <c:val>
            <c:numRef>
              <c:f>Resumo!$G$56:$G$65</c:f>
            </c:numRef>
          </c:val>
          <c:extLst>
            <c:ext xmlns:c16="http://schemas.microsoft.com/office/drawing/2014/chart" uri="{C3380CC4-5D6E-409C-BE32-E72D297353CC}">
              <c16:uniqueId val="{00000003-DB37-47DE-A79F-60FA624662F3}"/>
            </c:ext>
          </c:extLst>
        </c:ser>
        <c:ser>
          <c:idx val="4"/>
          <c:order val="4"/>
          <c:tx>
            <c:strRef>
              <c:f>Resumo!$H$55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</c:numCache>
            </c:numRef>
          </c:cat>
          <c:val>
            <c:numRef>
              <c:f>Resumo!$H$56:$H$65</c:f>
            </c:numRef>
          </c:val>
          <c:extLst>
            <c:ext xmlns:c16="http://schemas.microsoft.com/office/drawing/2014/chart" uri="{C3380CC4-5D6E-409C-BE32-E72D297353CC}">
              <c16:uniqueId val="{00000004-DB37-47DE-A79F-60FA624662F3}"/>
            </c:ext>
          </c:extLst>
        </c:ser>
        <c:ser>
          <c:idx val="5"/>
          <c:order val="5"/>
          <c:tx>
            <c:strRef>
              <c:f>Resumo!$I$55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</c:numCache>
            </c:numRef>
          </c:cat>
          <c:val>
            <c:numRef>
              <c:f>Resumo!$I$56:$I$65</c:f>
            </c:numRef>
          </c:val>
          <c:extLst>
            <c:ext xmlns:c16="http://schemas.microsoft.com/office/drawing/2014/chart" uri="{C3380CC4-5D6E-409C-BE32-E72D297353CC}">
              <c16:uniqueId val="{00000005-DB37-47DE-A79F-60FA624662F3}"/>
            </c:ext>
          </c:extLst>
        </c:ser>
        <c:ser>
          <c:idx val="6"/>
          <c:order val="6"/>
          <c:tx>
            <c:strRef>
              <c:f>Resumo!$J$55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</c:numCache>
            </c:numRef>
          </c:cat>
          <c:val>
            <c:numRef>
              <c:f>Resumo!$J$56:$J$65</c:f>
            </c:numRef>
          </c:val>
          <c:extLst>
            <c:ext xmlns:c16="http://schemas.microsoft.com/office/drawing/2014/chart" uri="{C3380CC4-5D6E-409C-BE32-E72D297353CC}">
              <c16:uniqueId val="{00000006-DB37-47DE-A79F-60FA624662F3}"/>
            </c:ext>
          </c:extLst>
        </c:ser>
        <c:ser>
          <c:idx val="7"/>
          <c:order val="7"/>
          <c:tx>
            <c:strRef>
              <c:f>Resumo!$K$55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</c:numCache>
            </c:numRef>
          </c:cat>
          <c:val>
            <c:numRef>
              <c:f>Resumo!$K$56:$K$65</c:f>
            </c:numRef>
          </c:val>
          <c:extLst>
            <c:ext xmlns:c16="http://schemas.microsoft.com/office/drawing/2014/chart" uri="{C3380CC4-5D6E-409C-BE32-E72D297353CC}">
              <c16:uniqueId val="{00000007-DB37-47DE-A79F-60FA624662F3}"/>
            </c:ext>
          </c:extLst>
        </c:ser>
        <c:ser>
          <c:idx val="8"/>
          <c:order val="8"/>
          <c:tx>
            <c:strRef>
              <c:f>Resumo!$L$55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</c:numCache>
            </c:numRef>
          </c:cat>
          <c:val>
            <c:numRef>
              <c:f>Resumo!$L$56:$L$65</c:f>
            </c:numRef>
          </c:val>
          <c:extLst>
            <c:ext xmlns:c16="http://schemas.microsoft.com/office/drawing/2014/chart" uri="{C3380CC4-5D6E-409C-BE32-E72D297353CC}">
              <c16:uniqueId val="{00000008-DB37-47DE-A79F-60FA624662F3}"/>
            </c:ext>
          </c:extLst>
        </c:ser>
        <c:ser>
          <c:idx val="9"/>
          <c:order val="9"/>
          <c:tx>
            <c:strRef>
              <c:f>Resumo!$M$55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</c:numCache>
            </c:numRef>
          </c:cat>
          <c:val>
            <c:numRef>
              <c:f>Resumo!$M$56:$M$65</c:f>
            </c:numRef>
          </c:val>
          <c:extLst>
            <c:ext xmlns:c16="http://schemas.microsoft.com/office/drawing/2014/chart" uri="{C3380CC4-5D6E-409C-BE32-E72D297353CC}">
              <c16:uniqueId val="{00000009-DB37-47DE-A79F-60FA624662F3}"/>
            </c:ext>
          </c:extLst>
        </c:ser>
        <c:ser>
          <c:idx val="10"/>
          <c:order val="10"/>
          <c:tx>
            <c:strRef>
              <c:f>Resumo!$N$55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</c:numCache>
            </c:numRef>
          </c:cat>
          <c:val>
            <c:numRef>
              <c:f>Resumo!$N$56:$N$65</c:f>
            </c:numRef>
          </c:val>
          <c:extLst>
            <c:ext xmlns:c16="http://schemas.microsoft.com/office/drawing/2014/chart" uri="{C3380CC4-5D6E-409C-BE32-E72D297353CC}">
              <c16:uniqueId val="{0000000A-DB37-47DE-A79F-60FA62466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815752"/>
        <c:axId val="377817712"/>
      </c:barChart>
      <c:catAx>
        <c:axId val="377815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377817712"/>
        <c:crosses val="autoZero"/>
        <c:auto val="1"/>
        <c:lblAlgn val="ctr"/>
        <c:lblOffset val="100"/>
        <c:noMultiLvlLbl val="0"/>
      </c:catAx>
      <c:valAx>
        <c:axId val="37781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&quot;R$&quot;\ 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37781575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000300851721596"/>
          <c:y val="0.8897995148863771"/>
          <c:w val="0.5894504787692052"/>
          <c:h val="0.108205836909214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pt-BR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 codeName="Gráfico1"/>
  <sheetViews>
    <sheetView zoomScale="106" workbookViewId="0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ctrlProps/ctrlProp1.xml><?xml version="1.0" encoding="utf-8"?>
<formControlPr xmlns="http://schemas.microsoft.com/office/spreadsheetml/2009/9/main" objectType="Drop" dropLines="10" dropStyle="combo" dx="26" fmlaLink="controle_formulario!$I$16" fmlaRange="controle_formulario!$I$6:$I$15" noThreeD="1" sel="5" val="0"/>
</file>

<file path=xl/ctrlProps/ctrlProp2.xml><?xml version="1.0" encoding="utf-8"?>
<formControlPr xmlns="http://schemas.microsoft.com/office/spreadsheetml/2009/9/main" objectType="Drop" dropLines="4" dropStyle="combo" dx="26" fmlaLink="controle_formulario!$C$10" fmlaRange="controle_formulario!$C$6:$C$9" noThreeD="1" sel="1" val="0"/>
</file>

<file path=xl/ctrlProps/ctrlProp3.xml><?xml version="1.0" encoding="utf-8"?>
<formControlPr xmlns="http://schemas.microsoft.com/office/spreadsheetml/2009/9/main" objectType="Drop" dropLines="10" dropStyle="combo" dx="26" fmlaLink="controle_formulario!$E$16" fmlaRange="controle_formulario!$E$6:$E$15" noThreeD="1" sel="1" val="0"/>
</file>

<file path=xl/ctrlProps/ctrlProp4.xml><?xml version="1.0" encoding="utf-8"?>
<formControlPr xmlns="http://schemas.microsoft.com/office/spreadsheetml/2009/9/main" objectType="Drop" dropLines="2" dropStyle="combo" dx="26" fmlaLink="controle_formulario!$C$39" fmlaRange="controle_formulario!$C$37:$C$38" noThreeD="1" sel="1" val="0"/>
</file>

<file path=xl/ctrlProps/ctrlProp5.xml><?xml version="1.0" encoding="utf-8"?>
<formControlPr xmlns="http://schemas.microsoft.com/office/spreadsheetml/2009/9/main" objectType="Drop" dropLines="3" dropStyle="combo" dx="26" fmlaLink="controle_formulario!$E$40" fmlaRange="controle_formulario!$E$37:$E$39" noThreeD="1" sel="3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jpeg"/><Relationship Id="rId1" Type="http://schemas.openxmlformats.org/officeDocument/2006/relationships/hyperlink" Target="https://creativecommons.org/licenses/by-nc/4.0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57150</xdr:rowOff>
    </xdr:from>
    <xdr:to>
      <xdr:col>16</xdr:col>
      <xdr:colOff>257174</xdr:colOff>
      <xdr:row>7</xdr:row>
      <xdr:rowOff>27305</xdr:rowOff>
    </xdr:to>
    <xdr:grpSp>
      <xdr:nvGrpSpPr>
        <xdr:cNvPr id="2" name="Grup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23899" y="240030"/>
          <a:ext cx="9286875" cy="1067435"/>
          <a:chOff x="0" y="0"/>
          <a:chExt cx="6854885" cy="1222921"/>
        </a:xfrm>
      </xdr:grpSpPr>
      <xdr:sp macro="" textlink="">
        <xdr:nvSpPr>
          <xdr:cNvPr id="3" name="Freeform 197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Aspect="1"/>
          </xdr:cNvSpPr>
        </xdr:nvSpPr>
        <xdr:spPr>
          <a:xfrm>
            <a:off x="776544" y="657954"/>
            <a:ext cx="3994404" cy="564967"/>
          </a:xfrm>
          <a:prstGeom prst="roundRect">
            <a:avLst>
              <a:gd name="adj" fmla="val 50000"/>
            </a:avLst>
          </a:prstGeom>
          <a:solidFill>
            <a:schemeClr val="bg1"/>
          </a:solidFill>
          <a:ln w="6350"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/>
          <a:p>
            <a:pPr algn="ctr">
              <a:spcAft>
                <a:spcPts val="0"/>
              </a:spcAft>
            </a:pPr>
            <a:r>
              <a:rPr lang="en-US" sz="1800" b="1" kern="12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</a:rPr>
              <a:t>Modelo </a:t>
            </a:r>
            <a:r>
              <a:rPr lang="en-US" sz="1800" b="1" kern="1200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</a:rPr>
              <a:t>padrão</a:t>
            </a:r>
            <a:endParaRPr lang="pt-BR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grpSp>
        <xdr:nvGrpSpPr>
          <xdr:cNvPr id="4" name="Agrupar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0" y="0"/>
            <a:ext cx="6854885" cy="576064"/>
            <a:chOff x="0" y="0"/>
            <a:chExt cx="3398196" cy="432048"/>
          </a:xfrm>
        </xdr:grpSpPr>
        <xdr:sp macro="" textlink="">
          <xdr:nvSpPr>
            <xdr:cNvPr id="5" name="Rectangle: Rounded Corners 100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0" y="0"/>
              <a:ext cx="3398196" cy="432048"/>
            </a:xfrm>
            <a:prstGeom prst="roundRect">
              <a:avLst>
                <a:gd name="adj" fmla="val 50000"/>
              </a:avLst>
            </a:prstGeom>
            <a:solidFill>
              <a:schemeClr val="bg1">
                <a:lumMod val="7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pt-BR"/>
            </a:p>
          </xdr:txBody>
        </xdr:sp>
        <xdr:sp macro="" textlink="">
          <xdr:nvSpPr>
            <xdr:cNvPr id="7" name="Retângulo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719229" y="53860"/>
              <a:ext cx="2616424" cy="331470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>
                <a:spcAft>
                  <a:spcPts val="0"/>
                </a:spcAft>
              </a:pPr>
              <a:r>
                <a:rPr lang="pt-BR" sz="1800" b="1" kern="1200">
                  <a:solidFill>
                    <a:srgbClr val="000000"/>
                  </a:solidFill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Análise de Impacto Orçamentário</a:t>
              </a:r>
              <a:endParaRPr lang="pt-BR" sz="18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</xdr:grpSp>
    <xdr:clientData/>
  </xdr:twoCellAnchor>
  <xdr:twoCellAnchor editAs="oneCell">
    <xdr:from>
      <xdr:col>4</xdr:col>
      <xdr:colOff>333375</xdr:colOff>
      <xdr:row>11</xdr:row>
      <xdr:rowOff>76200</xdr:rowOff>
    </xdr:from>
    <xdr:to>
      <xdr:col>5</xdr:col>
      <xdr:colOff>585470</xdr:colOff>
      <xdr:row>14</xdr:row>
      <xdr:rowOff>14605</xdr:rowOff>
    </xdr:to>
    <xdr:pic>
      <xdr:nvPicPr>
        <xdr:cNvPr id="9" name="Imagem 8" descr="https://br.creativecommons.org/wp-content/uploads/2015/04/by-nc.jp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1775" y="2362200"/>
          <a:ext cx="861695" cy="50990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409576</xdr:colOff>
      <xdr:row>0</xdr:row>
      <xdr:rowOff>161925</xdr:rowOff>
    </xdr:from>
    <xdr:to>
      <xdr:col>2</xdr:col>
      <xdr:colOff>600075</xdr:colOff>
      <xdr:row>4</xdr:row>
      <xdr:rowOff>9525</xdr:rowOff>
    </xdr:to>
    <xdr:sp macro="" textlink="">
      <xdr:nvSpPr>
        <xdr:cNvPr id="11" name="Rectangle: Rounded Corners 103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09576" y="161925"/>
          <a:ext cx="1409699" cy="609600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Planilha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542925</xdr:colOff>
      <xdr:row>14</xdr:row>
      <xdr:rowOff>142875</xdr:rowOff>
    </xdr:from>
    <xdr:to>
      <xdr:col>8</xdr:col>
      <xdr:colOff>133350</xdr:colOff>
      <xdr:row>16</xdr:row>
      <xdr:rowOff>111124</xdr:rowOff>
    </xdr:to>
    <xdr:sp macro="" textlink="">
      <xdr:nvSpPr>
        <xdr:cNvPr id="12" name="Rectangle: Rounded Corners 10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42925" y="2809875"/>
          <a:ext cx="4467225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Contato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361950</xdr:colOff>
      <xdr:row>14</xdr:row>
      <xdr:rowOff>123825</xdr:rowOff>
    </xdr:from>
    <xdr:to>
      <xdr:col>15</xdr:col>
      <xdr:colOff>400050</xdr:colOff>
      <xdr:row>16</xdr:row>
      <xdr:rowOff>92074</xdr:rowOff>
    </xdr:to>
    <xdr:sp macro="" textlink="">
      <xdr:nvSpPr>
        <xdr:cNvPr id="13" name="Rectangle: Rounded Corners 10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848350" y="2790825"/>
          <a:ext cx="3695700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Créditos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12</xdr:col>
      <xdr:colOff>601645</xdr:colOff>
      <xdr:row>1</xdr:row>
      <xdr:rowOff>66675</xdr:rowOff>
    </xdr:from>
    <xdr:to>
      <xdr:col>15</xdr:col>
      <xdr:colOff>100543</xdr:colOff>
      <xdr:row>4</xdr:row>
      <xdr:rowOff>38100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16845" y="257175"/>
          <a:ext cx="1327698" cy="5429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529167</xdr:colOff>
      <xdr:row>0</xdr:row>
      <xdr:rowOff>74083</xdr:rowOff>
    </xdr:from>
    <xdr:to>
      <xdr:col>17</xdr:col>
      <xdr:colOff>10584</xdr:colOff>
      <xdr:row>2</xdr:row>
      <xdr:rowOff>42332</xdr:rowOff>
    </xdr:to>
    <xdr:sp macro="" textlink="">
      <xdr:nvSpPr>
        <xdr:cNvPr id="2" name="Rectangle: Rounded Corners 10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529167" y="74083"/>
          <a:ext cx="10035117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Planilha Auxiliar Custos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1140885</xdr:colOff>
      <xdr:row>2</xdr:row>
      <xdr:rowOff>69087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28100" y="0"/>
          <a:ext cx="1097492" cy="4500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31</xdr:row>
          <xdr:rowOff>30480</xdr:rowOff>
        </xdr:from>
        <xdr:to>
          <xdr:col>2</xdr:col>
          <xdr:colOff>1394460</xdr:colOff>
          <xdr:row>32</xdr:row>
          <xdr:rowOff>30480</xdr:rowOff>
        </xdr:to>
        <xdr:sp macro="" textlink="">
          <xdr:nvSpPr>
            <xdr:cNvPr id="3073" name="horizonte_temporal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152400</xdr:rowOff>
        </xdr:from>
        <xdr:to>
          <xdr:col>2</xdr:col>
          <xdr:colOff>1394460</xdr:colOff>
          <xdr:row>7</xdr:row>
          <xdr:rowOff>152400</xdr:rowOff>
        </xdr:to>
        <xdr:sp macro="" textlink="">
          <xdr:nvSpPr>
            <xdr:cNvPr id="3075" name="qtd_tecnologias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</xdr:row>
          <xdr:rowOff>152400</xdr:rowOff>
        </xdr:from>
        <xdr:to>
          <xdr:col>2</xdr:col>
          <xdr:colOff>1394460</xdr:colOff>
          <xdr:row>17</xdr:row>
          <xdr:rowOff>160020</xdr:rowOff>
        </xdr:to>
        <xdr:sp macro="" textlink="">
          <xdr:nvSpPr>
            <xdr:cNvPr id="3076" name="qtd_cenarios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306915</xdr:colOff>
      <xdr:row>0</xdr:row>
      <xdr:rowOff>21168</xdr:rowOff>
    </xdr:from>
    <xdr:to>
      <xdr:col>8</xdr:col>
      <xdr:colOff>560916</xdr:colOff>
      <xdr:row>1</xdr:row>
      <xdr:rowOff>179917</xdr:rowOff>
    </xdr:to>
    <xdr:sp macro="" textlink="">
      <xdr:nvSpPr>
        <xdr:cNvPr id="5" name="Rectangle: Rounded Corners 10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06915" y="21168"/>
          <a:ext cx="8413751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Critérios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5</xdr:col>
      <xdr:colOff>508000</xdr:colOff>
      <xdr:row>0</xdr:row>
      <xdr:rowOff>0</xdr:rowOff>
    </xdr:from>
    <xdr:to>
      <xdr:col>6</xdr:col>
      <xdr:colOff>666750</xdr:colOff>
      <xdr:row>2</xdr:row>
      <xdr:rowOff>69087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89750" y="0"/>
          <a:ext cx="1100667" cy="45008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</xdr:row>
          <xdr:rowOff>144780</xdr:rowOff>
        </xdr:from>
        <xdr:to>
          <xdr:col>5</xdr:col>
          <xdr:colOff>22860</xdr:colOff>
          <xdr:row>4</xdr:row>
          <xdr:rowOff>76200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85725</xdr:colOff>
      <xdr:row>0</xdr:row>
      <xdr:rowOff>95250</xdr:rowOff>
    </xdr:from>
    <xdr:to>
      <xdr:col>39</xdr:col>
      <xdr:colOff>104775</xdr:colOff>
      <xdr:row>0</xdr:row>
      <xdr:rowOff>444499</xdr:rowOff>
    </xdr:to>
    <xdr:sp macro="" textlink="">
      <xdr:nvSpPr>
        <xdr:cNvPr id="6" name="Rectangle: Rounded Corners 103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285750" y="95250"/>
          <a:ext cx="14344650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População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31</xdr:col>
      <xdr:colOff>542925</xdr:colOff>
      <xdr:row>0</xdr:row>
      <xdr:rowOff>9525</xdr:rowOff>
    </xdr:from>
    <xdr:to>
      <xdr:col>32</xdr:col>
      <xdr:colOff>729193</xdr:colOff>
      <xdr:row>0</xdr:row>
      <xdr:rowOff>459612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44425" y="9525"/>
          <a:ext cx="1100667" cy="45008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388620</xdr:colOff>
          <xdr:row>11</xdr:row>
          <xdr:rowOff>0</xdr:rowOff>
        </xdr:from>
        <xdr:to>
          <xdr:col>3</xdr:col>
          <xdr:colOff>419100</xdr:colOff>
          <xdr:row>12</xdr:row>
          <xdr:rowOff>7620</xdr:rowOff>
        </xdr:to>
        <xdr:sp macro="" textlink="">
          <xdr:nvSpPr>
            <xdr:cNvPr id="4553" name="lista_sexo" hidden="1">
              <a:extLst>
                <a:ext uri="{63B3BB69-23CF-44E3-9099-C40C66FF867C}">
                  <a14:compatExt spid="_x0000_s4553"/>
                </a:ext>
                <a:ext uri="{FF2B5EF4-FFF2-40B4-BE49-F238E27FC236}">
                  <a16:creationId xmlns:a16="http://schemas.microsoft.com/office/drawing/2014/main" id="{00000000-0008-0000-0200-0000C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0</xdr:row>
      <xdr:rowOff>38100</xdr:rowOff>
    </xdr:from>
    <xdr:to>
      <xdr:col>17</xdr:col>
      <xdr:colOff>123825</xdr:colOff>
      <xdr:row>0</xdr:row>
      <xdr:rowOff>387349</xdr:rowOff>
    </xdr:to>
    <xdr:sp macro="" textlink="">
      <xdr:nvSpPr>
        <xdr:cNvPr id="3" name="Rectangle: Rounded Corners 10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71475" y="38100"/>
          <a:ext cx="14497050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Market share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15</xdr:col>
      <xdr:colOff>123825</xdr:colOff>
      <xdr:row>0</xdr:row>
      <xdr:rowOff>9525</xdr:rowOff>
    </xdr:from>
    <xdr:to>
      <xdr:col>17</xdr:col>
      <xdr:colOff>52917</xdr:colOff>
      <xdr:row>0</xdr:row>
      <xdr:rowOff>459612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73025" y="9525"/>
          <a:ext cx="1100667" cy="45008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529167</xdr:colOff>
      <xdr:row>0</xdr:row>
      <xdr:rowOff>74083</xdr:rowOff>
    </xdr:from>
    <xdr:to>
      <xdr:col>11</xdr:col>
      <xdr:colOff>10584</xdr:colOff>
      <xdr:row>2</xdr:row>
      <xdr:rowOff>42332</xdr:rowOff>
    </xdr:to>
    <xdr:sp macro="" textlink="">
      <xdr:nvSpPr>
        <xdr:cNvPr id="3" name="Rectangle: Rounded Corners 10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29167" y="74083"/>
          <a:ext cx="8890000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Custos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412750</xdr:colOff>
      <xdr:row>0</xdr:row>
      <xdr:rowOff>0</xdr:rowOff>
    </xdr:from>
    <xdr:to>
      <xdr:col>11</xdr:col>
      <xdr:colOff>21166</xdr:colOff>
      <xdr:row>2</xdr:row>
      <xdr:rowOff>69087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78750" y="0"/>
          <a:ext cx="1100667" cy="45008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142875</xdr:rowOff>
    </xdr:from>
    <xdr:to>
      <xdr:col>9</xdr:col>
      <xdr:colOff>23812</xdr:colOff>
      <xdr:row>1</xdr:row>
      <xdr:rowOff>182561</xdr:rowOff>
    </xdr:to>
    <xdr:sp macro="" textlink="">
      <xdr:nvSpPr>
        <xdr:cNvPr id="3" name="Rectangle: Rounded Corners 10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71500" y="142875"/>
          <a:ext cx="9167812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Cenários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35719</xdr:colOff>
      <xdr:row>0</xdr:row>
      <xdr:rowOff>47625</xdr:rowOff>
    </xdr:from>
    <xdr:to>
      <xdr:col>8</xdr:col>
      <xdr:colOff>1136386</xdr:colOff>
      <xdr:row>0</xdr:row>
      <xdr:rowOff>497712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7219" y="47625"/>
          <a:ext cx="1100667" cy="45008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476249</xdr:colOff>
      <xdr:row>0</xdr:row>
      <xdr:rowOff>179917</xdr:rowOff>
    </xdr:from>
    <xdr:to>
      <xdr:col>10</xdr:col>
      <xdr:colOff>1502832</xdr:colOff>
      <xdr:row>2</xdr:row>
      <xdr:rowOff>148166</xdr:rowOff>
    </xdr:to>
    <xdr:sp macro="" textlink="">
      <xdr:nvSpPr>
        <xdr:cNvPr id="4" name="Rectangle: Rounded Corners 10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751416" y="179917"/>
          <a:ext cx="13472583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Resumo da</a:t>
          </a:r>
          <a:r>
            <a:rPr lang="en-US" sz="1400" b="1" kern="12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 AIO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9</xdr:col>
      <xdr:colOff>1121833</xdr:colOff>
      <xdr:row>0</xdr:row>
      <xdr:rowOff>127000</xdr:rowOff>
    </xdr:from>
    <xdr:to>
      <xdr:col>15</xdr:col>
      <xdr:colOff>254001</xdr:colOff>
      <xdr:row>3</xdr:row>
      <xdr:rowOff>5587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4916" y="127000"/>
          <a:ext cx="1100667" cy="45008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640019" cy="600973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0.25253</cdr:x>
      <cdr:y>0.00961</cdr:y>
    </cdr:from>
    <cdr:to>
      <cdr:x>0.89899</cdr:x>
      <cdr:y>0.17591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455209" y="27517"/>
          <a:ext cx="3725334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  <cdr:relSizeAnchor xmlns:cdr="http://schemas.openxmlformats.org/drawingml/2006/chartDrawing">
    <cdr:from>
      <cdr:x>0.24066</cdr:x>
      <cdr:y>0.05904</cdr:y>
    </cdr:from>
    <cdr:to>
      <cdr:x>0.68631</cdr:x>
      <cdr:y>0.11851</cdr:y>
    </cdr:to>
    <cdr:sp macro="" textlink="">
      <cdr:nvSpPr>
        <cdr:cNvPr id="3" name="CaixaDeTexto 2"/>
        <cdr:cNvSpPr txBox="1"/>
      </cdr:nvSpPr>
      <cdr:spPr>
        <a:xfrm xmlns:a="http://schemas.openxmlformats.org/drawingml/2006/main">
          <a:off x="2321218" y="354899"/>
          <a:ext cx="4298257" cy="357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pt-BR" sz="1800" b="1">
              <a:latin typeface="Arial" panose="020B0604020202020204" pitchFamily="34" charset="0"/>
              <a:cs typeface="Arial" panose="020B0604020202020204" pitchFamily="34" charset="0"/>
            </a:rPr>
            <a:t>Impacto Orçamentário Total</a:t>
          </a:r>
        </a:p>
      </cdr:txBody>
    </cdr:sp>
  </cdr:relSizeAnchor>
  <cdr:relSizeAnchor xmlns:cdr="http://schemas.openxmlformats.org/drawingml/2006/chartDrawing">
    <cdr:from>
      <cdr:x>0.07581</cdr:x>
      <cdr:y>0.01644</cdr:y>
    </cdr:from>
    <cdr:to>
      <cdr:x>0.18992</cdr:x>
      <cdr:y>0.09132</cdr:y>
    </cdr:to>
    <cdr:pic>
      <cdr:nvPicPr>
        <cdr:cNvPr id="4" name="Imagem 3">
          <a:extLst xmlns:a="http://schemas.openxmlformats.org/drawingml/2006/main">
            <a:ext uri="{FF2B5EF4-FFF2-40B4-BE49-F238E27FC236}">
              <a16:creationId xmlns:a16="http://schemas.microsoft.com/office/drawing/2014/main" id="{FB491912-8F82-498C-8E66-DEACB836BF81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731158" y="98825"/>
          <a:ext cx="1100667" cy="450087"/>
        </a:xfrm>
        <a:prstGeom xmlns:a="http://schemas.openxmlformats.org/drawingml/2006/main" prst="rect">
          <a:avLst/>
        </a:prstGeom>
      </cdr:spPr>
    </cdr:pic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>
  <person displayName="Felipe Umeda Valle" id="{4EAC87B8-6969-42C4-B8F2-E667FDD6B39D}" userId="Felipe Umeda Valle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2-09-27T18:34:25.51" personId="{4EAC87B8-6969-42C4-B8F2-E667FDD6B39D}" id="{0C145E06-1E0A-45D8-B2A1-57EAF63C8882}">
    <text>As fórmulas mudam conforme a linha. Quando o cenário for "referência" e a tecnologia for "em análise" é excluída essa parte da fórmula SE/E para não dar erro de valor.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4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1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6"/>
  <dimension ref="B5:K32"/>
  <sheetViews>
    <sheetView showGridLines="0" topLeftCell="A8" workbookViewId="0">
      <selection activeCell="H12" sqref="H12"/>
    </sheetView>
  </sheetViews>
  <sheetFormatPr defaultRowHeight="14.4" x14ac:dyDescent="0.3"/>
  <sheetData>
    <row r="5" spans="2:4" x14ac:dyDescent="0.3">
      <c r="C5" s="107"/>
    </row>
    <row r="9" spans="2:4" x14ac:dyDescent="0.3">
      <c r="B9" s="107" t="s">
        <v>71</v>
      </c>
    </row>
    <row r="10" spans="2:4" x14ac:dyDescent="0.3">
      <c r="C10" s="107"/>
      <c r="D10" s="107" t="s">
        <v>139</v>
      </c>
    </row>
    <row r="11" spans="2:4" x14ac:dyDescent="0.3">
      <c r="C11" s="107"/>
    </row>
    <row r="18" spans="2:11" x14ac:dyDescent="0.3">
      <c r="B18" s="108" t="s">
        <v>81</v>
      </c>
      <c r="K18" s="108" t="s">
        <v>86</v>
      </c>
    </row>
    <row r="19" spans="2:11" x14ac:dyDescent="0.3">
      <c r="B19" s="108" t="s">
        <v>82</v>
      </c>
      <c r="K19" s="108" t="s">
        <v>87</v>
      </c>
    </row>
    <row r="20" spans="2:11" x14ac:dyDescent="0.3">
      <c r="B20" s="108" t="s">
        <v>83</v>
      </c>
      <c r="K20" s="108" t="s">
        <v>88</v>
      </c>
    </row>
    <row r="21" spans="2:11" x14ac:dyDescent="0.3">
      <c r="B21" s="108" t="s">
        <v>80</v>
      </c>
    </row>
    <row r="22" spans="2:11" x14ac:dyDescent="0.3">
      <c r="B22" s="108" t="s">
        <v>84</v>
      </c>
    </row>
    <row r="23" spans="2:11" x14ac:dyDescent="0.3">
      <c r="B23" s="108" t="s">
        <v>85</v>
      </c>
    </row>
    <row r="24" spans="2:11" x14ac:dyDescent="0.3">
      <c r="B24" s="108"/>
    </row>
    <row r="26" spans="2:11" x14ac:dyDescent="0.3">
      <c r="B26" s="108"/>
    </row>
    <row r="27" spans="2:11" x14ac:dyDescent="0.3">
      <c r="B27" s="108"/>
    </row>
    <row r="28" spans="2:11" x14ac:dyDescent="0.3">
      <c r="B28" s="108"/>
    </row>
    <row r="30" spans="2:11" x14ac:dyDescent="0.3">
      <c r="B30" s="108"/>
    </row>
    <row r="31" spans="2:11" x14ac:dyDescent="0.3">
      <c r="B31" s="108"/>
    </row>
    <row r="32" spans="2:11" x14ac:dyDescent="0.3">
      <c r="B32" s="108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2"/>
  <dimension ref="A1:Z275"/>
  <sheetViews>
    <sheetView zoomScale="90" zoomScaleNormal="90" workbookViewId="0">
      <selection activeCell="I2" sqref="I2"/>
    </sheetView>
  </sheetViews>
  <sheetFormatPr defaultColWidth="8.88671875" defaultRowHeight="14.4" x14ac:dyDescent="0.3"/>
  <cols>
    <col min="1" max="1" width="10" bestFit="1" customWidth="1"/>
    <col min="3" max="5" width="8.88671875" hidden="1" customWidth="1"/>
    <col min="6" max="8" width="12.109375" hidden="1" customWidth="1"/>
    <col min="9" max="15" width="12.109375" bestFit="1" customWidth="1"/>
    <col min="16" max="16" width="12.109375" customWidth="1"/>
    <col min="17" max="17" width="10.88671875" customWidth="1"/>
    <col min="18" max="19" width="11" customWidth="1"/>
    <col min="20" max="20" width="10" customWidth="1"/>
    <col min="21" max="21" width="10.33203125" customWidth="1"/>
    <col min="22" max="22" width="13.88671875" bestFit="1" customWidth="1"/>
  </cols>
  <sheetData>
    <row r="1" spans="1:26" x14ac:dyDescent="0.3">
      <c r="A1" t="s">
        <v>1</v>
      </c>
      <c r="B1" t="s">
        <v>37</v>
      </c>
      <c r="C1">
        <v>2017</v>
      </c>
      <c r="D1">
        <v>2018</v>
      </c>
      <c r="E1">
        <v>2019</v>
      </c>
      <c r="F1">
        <v>2020</v>
      </c>
      <c r="G1">
        <v>2021</v>
      </c>
      <c r="H1">
        <v>2022</v>
      </c>
      <c r="I1">
        <v>2023</v>
      </c>
      <c r="J1">
        <v>2024</v>
      </c>
      <c r="K1">
        <v>2025</v>
      </c>
      <c r="L1">
        <v>2026</v>
      </c>
      <c r="M1">
        <v>2027</v>
      </c>
      <c r="N1">
        <v>2028</v>
      </c>
      <c r="O1">
        <v>2029</v>
      </c>
      <c r="P1">
        <v>2030</v>
      </c>
      <c r="Q1">
        <v>2031</v>
      </c>
      <c r="R1">
        <v>2032</v>
      </c>
      <c r="S1">
        <v>2033</v>
      </c>
      <c r="T1">
        <v>2034</v>
      </c>
      <c r="U1">
        <v>2035</v>
      </c>
    </row>
    <row r="2" spans="1:26" x14ac:dyDescent="0.3">
      <c r="A2" t="s">
        <v>2</v>
      </c>
      <c r="B2">
        <v>0</v>
      </c>
      <c r="C2">
        <v>345720</v>
      </c>
      <c r="D2">
        <v>345720</v>
      </c>
      <c r="E2">
        <v>343723</v>
      </c>
      <c r="F2" s="169">
        <v>304655</v>
      </c>
      <c r="G2" s="169">
        <v>294990</v>
      </c>
      <c r="H2" s="169">
        <v>300014</v>
      </c>
      <c r="I2" s="169">
        <v>291818</v>
      </c>
      <c r="J2" s="169">
        <v>286856</v>
      </c>
      <c r="K2" s="169">
        <v>280808</v>
      </c>
      <c r="L2" s="169">
        <v>275601</v>
      </c>
      <c r="M2" s="169">
        <v>270941</v>
      </c>
      <c r="N2" s="169">
        <v>266728</v>
      </c>
      <c r="O2" s="169">
        <v>262982</v>
      </c>
      <c r="P2" s="169">
        <v>259682</v>
      </c>
      <c r="Q2" s="15">
        <v>256658</v>
      </c>
      <c r="R2" s="15">
        <v>253828</v>
      </c>
      <c r="S2" s="15">
        <v>251192</v>
      </c>
      <c r="T2" s="15">
        <v>248785</v>
      </c>
      <c r="U2" s="15">
        <v>246546</v>
      </c>
      <c r="V2" s="15"/>
      <c r="W2" s="15"/>
      <c r="X2" s="15"/>
      <c r="Y2" s="15"/>
      <c r="Z2" s="15"/>
    </row>
    <row r="3" spans="1:26" x14ac:dyDescent="0.3">
      <c r="A3" t="s">
        <v>2</v>
      </c>
      <c r="B3">
        <v>1</v>
      </c>
      <c r="C3">
        <v>353793</v>
      </c>
      <c r="D3">
        <v>353793</v>
      </c>
      <c r="E3">
        <v>360161</v>
      </c>
      <c r="F3" s="169">
        <v>354954</v>
      </c>
      <c r="G3" s="169">
        <v>340004</v>
      </c>
      <c r="H3" s="169">
        <v>336244</v>
      </c>
      <c r="I3" s="169">
        <v>329433</v>
      </c>
      <c r="J3" s="169">
        <v>320867</v>
      </c>
      <c r="K3" s="169">
        <v>315505</v>
      </c>
      <c r="L3" s="169">
        <v>308946</v>
      </c>
      <c r="M3" s="169">
        <v>303306</v>
      </c>
      <c r="N3" s="169">
        <v>298265</v>
      </c>
      <c r="O3" s="169">
        <v>293714</v>
      </c>
      <c r="P3" s="169">
        <v>289673</v>
      </c>
      <c r="Q3" s="15">
        <v>286086</v>
      </c>
      <c r="R3" s="15">
        <v>282759</v>
      </c>
      <c r="S3" s="15">
        <v>279643</v>
      </c>
      <c r="T3" s="15">
        <v>276741</v>
      </c>
      <c r="U3" s="15">
        <v>274092</v>
      </c>
      <c r="V3" s="15"/>
      <c r="W3" s="15"/>
      <c r="X3" s="15"/>
      <c r="Y3" s="15"/>
      <c r="Z3" s="15"/>
    </row>
    <row r="4" spans="1:26" x14ac:dyDescent="0.3">
      <c r="A4" t="s">
        <v>2</v>
      </c>
      <c r="B4">
        <v>2</v>
      </c>
      <c r="C4">
        <v>374141</v>
      </c>
      <c r="D4">
        <v>374141</v>
      </c>
      <c r="E4">
        <v>371245</v>
      </c>
      <c r="F4" s="169">
        <v>372160</v>
      </c>
      <c r="G4" s="169">
        <v>362809</v>
      </c>
      <c r="H4" s="169">
        <v>356269</v>
      </c>
      <c r="I4" s="169">
        <v>335015</v>
      </c>
      <c r="J4" s="169">
        <v>323731</v>
      </c>
      <c r="K4" s="169">
        <v>315372</v>
      </c>
      <c r="L4" s="169">
        <v>310162</v>
      </c>
      <c r="M4" s="169">
        <v>303771</v>
      </c>
      <c r="N4" s="169">
        <v>298282</v>
      </c>
      <c r="O4" s="169">
        <v>293380</v>
      </c>
      <c r="P4" s="169">
        <v>288957</v>
      </c>
      <c r="Q4" s="15">
        <v>285012</v>
      </c>
      <c r="R4" s="15">
        <v>281482</v>
      </c>
      <c r="S4" s="15">
        <v>278207</v>
      </c>
      <c r="T4" s="15">
        <v>275139</v>
      </c>
      <c r="U4" s="15">
        <v>272282</v>
      </c>
      <c r="V4" s="15"/>
      <c r="W4" s="15"/>
      <c r="X4" s="15"/>
      <c r="Y4" s="15"/>
      <c r="Z4" s="15"/>
    </row>
    <row r="5" spans="1:26" x14ac:dyDescent="0.3">
      <c r="A5" t="s">
        <v>2</v>
      </c>
      <c r="B5">
        <v>3</v>
      </c>
      <c r="C5">
        <v>369964</v>
      </c>
      <c r="D5">
        <v>369964</v>
      </c>
      <c r="E5">
        <v>362396</v>
      </c>
      <c r="F5" s="169">
        <v>364971</v>
      </c>
      <c r="G5" s="169">
        <v>377471</v>
      </c>
      <c r="H5" s="169">
        <v>380957</v>
      </c>
      <c r="I5" s="169">
        <v>354340</v>
      </c>
      <c r="J5" s="169">
        <v>342428</v>
      </c>
      <c r="K5" s="169">
        <v>330937</v>
      </c>
      <c r="L5" s="169">
        <v>322433</v>
      </c>
      <c r="M5" s="169">
        <v>317147</v>
      </c>
      <c r="N5" s="169">
        <v>310651</v>
      </c>
      <c r="O5" s="169">
        <v>305076</v>
      </c>
      <c r="P5" s="169">
        <v>300101</v>
      </c>
      <c r="Q5" s="15">
        <v>295598</v>
      </c>
      <c r="R5" s="15">
        <v>291561</v>
      </c>
      <c r="S5" s="15">
        <v>287948</v>
      </c>
      <c r="T5" s="15">
        <v>284596</v>
      </c>
      <c r="U5" s="15">
        <v>281456</v>
      </c>
      <c r="V5" s="15"/>
      <c r="W5" s="15"/>
      <c r="X5" s="15"/>
      <c r="Y5" s="15"/>
      <c r="Z5" s="15"/>
    </row>
    <row r="6" spans="1:26" x14ac:dyDescent="0.3">
      <c r="A6" t="s">
        <v>2</v>
      </c>
      <c r="B6">
        <v>4</v>
      </c>
      <c r="C6">
        <v>351470</v>
      </c>
      <c r="D6">
        <v>351470</v>
      </c>
      <c r="E6">
        <v>358687</v>
      </c>
      <c r="F6" s="169">
        <v>345698</v>
      </c>
      <c r="G6" s="169">
        <v>367622</v>
      </c>
      <c r="H6" s="169">
        <v>391718</v>
      </c>
      <c r="I6" s="169">
        <v>376240</v>
      </c>
      <c r="J6" s="169">
        <v>361830</v>
      </c>
      <c r="K6" s="169">
        <v>349695</v>
      </c>
      <c r="L6" s="169">
        <v>337989</v>
      </c>
      <c r="M6" s="169">
        <v>329330</v>
      </c>
      <c r="N6" s="169">
        <v>323957</v>
      </c>
      <c r="O6" s="169">
        <v>317349</v>
      </c>
      <c r="P6" s="169">
        <v>311678</v>
      </c>
      <c r="Q6" s="15">
        <v>306611</v>
      </c>
      <c r="R6" s="15">
        <v>302008</v>
      </c>
      <c r="S6" s="15">
        <v>297881</v>
      </c>
      <c r="T6" s="15">
        <v>294191</v>
      </c>
      <c r="U6" s="15">
        <v>290763</v>
      </c>
      <c r="V6" s="15"/>
      <c r="W6" s="15"/>
      <c r="X6" s="15"/>
      <c r="Y6" s="15"/>
      <c r="Z6" s="15"/>
    </row>
    <row r="7" spans="1:26" x14ac:dyDescent="0.3">
      <c r="A7" t="s">
        <v>2</v>
      </c>
      <c r="B7">
        <v>5</v>
      </c>
      <c r="C7">
        <v>340064</v>
      </c>
      <c r="D7">
        <v>340064</v>
      </c>
      <c r="E7">
        <v>344666</v>
      </c>
      <c r="F7" s="169">
        <v>361820</v>
      </c>
      <c r="G7" s="169">
        <v>346099</v>
      </c>
      <c r="H7" s="169">
        <v>377515</v>
      </c>
      <c r="I7" s="169">
        <v>385518</v>
      </c>
      <c r="J7" s="169">
        <v>381142</v>
      </c>
      <c r="K7" s="169">
        <v>366563</v>
      </c>
      <c r="L7" s="169">
        <v>354286</v>
      </c>
      <c r="M7" s="169">
        <v>342443</v>
      </c>
      <c r="N7" s="169">
        <v>333685</v>
      </c>
      <c r="O7" s="169">
        <v>328257</v>
      </c>
      <c r="P7" s="169">
        <v>321576</v>
      </c>
      <c r="Q7" s="15">
        <v>315838</v>
      </c>
      <c r="R7" s="15">
        <v>310701</v>
      </c>
      <c r="S7" s="15">
        <v>306036</v>
      </c>
      <c r="T7" s="15">
        <v>301851</v>
      </c>
      <c r="U7" s="15">
        <v>298109</v>
      </c>
      <c r="V7" s="15"/>
      <c r="W7" s="15"/>
      <c r="X7" s="15"/>
      <c r="Y7" s="15"/>
      <c r="Z7" s="15"/>
    </row>
    <row r="8" spans="1:26" x14ac:dyDescent="0.3">
      <c r="A8" t="s">
        <v>2</v>
      </c>
      <c r="B8">
        <v>6</v>
      </c>
      <c r="C8">
        <v>327438</v>
      </c>
      <c r="D8">
        <v>327438</v>
      </c>
      <c r="E8">
        <v>326544</v>
      </c>
      <c r="F8" s="169">
        <v>345840</v>
      </c>
      <c r="G8" s="169">
        <v>361370</v>
      </c>
      <c r="H8" s="169">
        <v>352673</v>
      </c>
      <c r="I8" s="169">
        <v>370662</v>
      </c>
      <c r="J8" s="169">
        <v>376002</v>
      </c>
      <c r="K8" s="169">
        <v>371744</v>
      </c>
      <c r="L8" s="169">
        <v>357533</v>
      </c>
      <c r="M8" s="169">
        <v>345567</v>
      </c>
      <c r="N8" s="169">
        <v>334024</v>
      </c>
      <c r="O8" s="169">
        <v>325488</v>
      </c>
      <c r="P8" s="169">
        <v>320199</v>
      </c>
      <c r="Q8" s="15">
        <v>313687</v>
      </c>
      <c r="R8" s="15">
        <v>308087</v>
      </c>
      <c r="S8" s="15">
        <v>303073</v>
      </c>
      <c r="T8" s="15">
        <v>298520</v>
      </c>
      <c r="U8" s="15">
        <v>294434</v>
      </c>
      <c r="V8" s="15"/>
      <c r="W8" s="15"/>
      <c r="X8" s="15"/>
      <c r="Y8" s="15"/>
      <c r="Z8" s="15"/>
    </row>
    <row r="9" spans="1:26" x14ac:dyDescent="0.3">
      <c r="A9" t="s">
        <v>2</v>
      </c>
      <c r="B9">
        <v>7</v>
      </c>
      <c r="C9">
        <v>321641</v>
      </c>
      <c r="D9">
        <v>321641</v>
      </c>
      <c r="E9">
        <v>322757</v>
      </c>
      <c r="F9" s="169">
        <v>328436</v>
      </c>
      <c r="G9" s="169">
        <v>344439</v>
      </c>
      <c r="H9" s="169">
        <v>366861</v>
      </c>
      <c r="I9" s="169">
        <v>346207</v>
      </c>
      <c r="J9" s="169">
        <v>338683</v>
      </c>
      <c r="K9" s="169">
        <v>343565</v>
      </c>
      <c r="L9" s="169">
        <v>339679</v>
      </c>
      <c r="M9" s="169">
        <v>326696</v>
      </c>
      <c r="N9" s="169">
        <v>315764</v>
      </c>
      <c r="O9" s="169">
        <v>305219</v>
      </c>
      <c r="P9" s="169">
        <v>297420</v>
      </c>
      <c r="Q9" s="15">
        <v>292589</v>
      </c>
      <c r="R9" s="15">
        <v>286635</v>
      </c>
      <c r="S9" s="15">
        <v>281515</v>
      </c>
      <c r="T9" s="15">
        <v>276931</v>
      </c>
      <c r="U9" s="15">
        <v>272770</v>
      </c>
      <c r="V9" s="15"/>
      <c r="W9" s="15"/>
      <c r="X9" s="15"/>
      <c r="Y9" s="15"/>
      <c r="Z9" s="15"/>
    </row>
    <row r="10" spans="1:26" x14ac:dyDescent="0.3">
      <c r="A10" t="s">
        <v>2</v>
      </c>
      <c r="B10">
        <v>8</v>
      </c>
      <c r="C10">
        <v>310771</v>
      </c>
      <c r="D10">
        <v>310771</v>
      </c>
      <c r="E10">
        <v>311632</v>
      </c>
      <c r="F10" s="169">
        <v>318566</v>
      </c>
      <c r="G10" s="169">
        <v>327452</v>
      </c>
      <c r="H10" s="169">
        <v>348226</v>
      </c>
      <c r="I10" s="169">
        <v>360146</v>
      </c>
      <c r="J10" s="169">
        <v>352400</v>
      </c>
      <c r="K10" s="169">
        <v>344741</v>
      </c>
      <c r="L10" s="169">
        <v>349709</v>
      </c>
      <c r="M10" s="169">
        <v>345754</v>
      </c>
      <c r="N10" s="169">
        <v>332538</v>
      </c>
      <c r="O10" s="169">
        <v>321409</v>
      </c>
      <c r="P10" s="169">
        <v>310673</v>
      </c>
      <c r="Q10" s="15">
        <v>302733</v>
      </c>
      <c r="R10" s="15">
        <v>297814</v>
      </c>
      <c r="S10" s="15">
        <v>291752</v>
      </c>
      <c r="T10" s="15">
        <v>286538</v>
      </c>
      <c r="U10" s="15">
        <v>281870</v>
      </c>
      <c r="V10" s="15"/>
      <c r="W10" s="15"/>
      <c r="X10" s="15"/>
      <c r="Y10" s="15"/>
      <c r="Z10" s="15"/>
    </row>
    <row r="11" spans="1:26" x14ac:dyDescent="0.3">
      <c r="A11" t="s">
        <v>2</v>
      </c>
      <c r="B11">
        <v>9</v>
      </c>
      <c r="C11">
        <v>298487</v>
      </c>
      <c r="D11">
        <v>298487</v>
      </c>
      <c r="E11">
        <v>294082</v>
      </c>
      <c r="F11" s="169">
        <v>309974</v>
      </c>
      <c r="G11" s="169">
        <v>318168</v>
      </c>
      <c r="H11" s="169">
        <v>330713</v>
      </c>
      <c r="I11" s="169">
        <v>342225</v>
      </c>
      <c r="J11" s="169">
        <v>349106</v>
      </c>
      <c r="K11" s="169">
        <v>341592</v>
      </c>
      <c r="L11" s="169">
        <v>334166</v>
      </c>
      <c r="M11" s="169">
        <v>338978</v>
      </c>
      <c r="N11" s="169">
        <v>335140</v>
      </c>
      <c r="O11" s="169">
        <v>322327</v>
      </c>
      <c r="P11" s="169">
        <v>311534</v>
      </c>
      <c r="Q11" s="15">
        <v>301127</v>
      </c>
      <c r="R11" s="15">
        <v>293429</v>
      </c>
      <c r="S11" s="15">
        <v>288658</v>
      </c>
      <c r="T11" s="15">
        <v>282781</v>
      </c>
      <c r="U11" s="15">
        <v>277726</v>
      </c>
      <c r="V11" s="15"/>
      <c r="W11" s="15"/>
      <c r="X11" s="15"/>
      <c r="Y11" s="15"/>
      <c r="Z11" s="15"/>
    </row>
    <row r="12" spans="1:26" x14ac:dyDescent="0.3">
      <c r="A12" t="s">
        <v>2</v>
      </c>
      <c r="B12">
        <v>10</v>
      </c>
      <c r="C12">
        <v>285315</v>
      </c>
      <c r="D12">
        <v>285315</v>
      </c>
      <c r="E12">
        <v>283366</v>
      </c>
      <c r="F12" s="169">
        <v>297705</v>
      </c>
      <c r="G12" s="169">
        <v>308825</v>
      </c>
      <c r="H12" s="169">
        <v>320695</v>
      </c>
      <c r="I12" s="169">
        <v>324706</v>
      </c>
      <c r="J12" s="169">
        <v>327903</v>
      </c>
      <c r="K12" s="169">
        <v>334491</v>
      </c>
      <c r="L12" s="169">
        <v>327287</v>
      </c>
      <c r="M12" s="169">
        <v>320166</v>
      </c>
      <c r="N12" s="169">
        <v>324771</v>
      </c>
      <c r="O12" s="169">
        <v>321090</v>
      </c>
      <c r="P12" s="169">
        <v>308809</v>
      </c>
      <c r="Q12" s="15">
        <v>298465</v>
      </c>
      <c r="R12" s="15">
        <v>288493</v>
      </c>
      <c r="S12" s="15">
        <v>281117</v>
      </c>
      <c r="T12" s="15">
        <v>276545</v>
      </c>
      <c r="U12" s="15">
        <v>270912</v>
      </c>
      <c r="V12" s="15"/>
      <c r="W12" s="15"/>
      <c r="X12" s="15"/>
      <c r="Y12" s="15"/>
      <c r="Z12" s="15"/>
    </row>
    <row r="13" spans="1:26" x14ac:dyDescent="0.3">
      <c r="A13" t="s">
        <v>2</v>
      </c>
      <c r="B13">
        <v>11</v>
      </c>
      <c r="C13">
        <v>277369</v>
      </c>
      <c r="D13">
        <v>277369</v>
      </c>
      <c r="E13">
        <v>275203</v>
      </c>
      <c r="F13" s="169">
        <v>286559</v>
      </c>
      <c r="G13" s="169">
        <v>296921</v>
      </c>
      <c r="H13" s="169">
        <v>310929</v>
      </c>
      <c r="I13" s="169">
        <v>314609</v>
      </c>
      <c r="J13" s="169">
        <v>313184</v>
      </c>
      <c r="K13" s="169">
        <v>316262</v>
      </c>
      <c r="L13" s="169">
        <v>322608</v>
      </c>
      <c r="M13" s="169">
        <v>315655</v>
      </c>
      <c r="N13" s="169">
        <v>308781</v>
      </c>
      <c r="O13" s="169">
        <v>313216</v>
      </c>
      <c r="P13" s="169">
        <v>309661</v>
      </c>
      <c r="Q13" s="15">
        <v>297813</v>
      </c>
      <c r="R13" s="15">
        <v>287837</v>
      </c>
      <c r="S13" s="15">
        <v>278219</v>
      </c>
      <c r="T13" s="15">
        <v>271103</v>
      </c>
      <c r="U13" s="15">
        <v>266693</v>
      </c>
      <c r="V13" s="15"/>
      <c r="W13" s="15"/>
      <c r="X13" s="15"/>
      <c r="Y13" s="15"/>
      <c r="Z13" s="15"/>
    </row>
    <row r="14" spans="1:26" x14ac:dyDescent="0.3">
      <c r="A14" t="s">
        <v>2</v>
      </c>
      <c r="B14">
        <v>12</v>
      </c>
      <c r="C14">
        <v>272245</v>
      </c>
      <c r="D14">
        <v>272245</v>
      </c>
      <c r="E14">
        <v>265403</v>
      </c>
      <c r="F14" s="169">
        <v>280173</v>
      </c>
      <c r="G14" s="169">
        <v>285163</v>
      </c>
      <c r="H14" s="169">
        <v>297625</v>
      </c>
      <c r="I14" s="169">
        <v>304947</v>
      </c>
      <c r="J14" s="169">
        <v>306635</v>
      </c>
      <c r="K14" s="169">
        <v>305241</v>
      </c>
      <c r="L14" s="169">
        <v>308234</v>
      </c>
      <c r="M14" s="169">
        <v>314412</v>
      </c>
      <c r="N14" s="169">
        <v>307628</v>
      </c>
      <c r="O14" s="169">
        <v>300921</v>
      </c>
      <c r="P14" s="169">
        <v>305237</v>
      </c>
      <c r="Q14" s="15">
        <v>301770</v>
      </c>
      <c r="R14" s="15">
        <v>290224</v>
      </c>
      <c r="S14" s="15">
        <v>280500</v>
      </c>
      <c r="T14" s="15">
        <v>271127</v>
      </c>
      <c r="U14" s="15">
        <v>264191</v>
      </c>
      <c r="V14" s="15"/>
      <c r="W14" s="15"/>
      <c r="X14" s="15"/>
      <c r="Y14" s="15"/>
      <c r="Z14" s="15"/>
    </row>
    <row r="15" spans="1:26" x14ac:dyDescent="0.3">
      <c r="A15" t="s">
        <v>2</v>
      </c>
      <c r="B15">
        <v>13</v>
      </c>
      <c r="C15">
        <v>265334</v>
      </c>
      <c r="D15">
        <v>265334</v>
      </c>
      <c r="E15">
        <v>262125</v>
      </c>
      <c r="F15" s="169">
        <v>264617</v>
      </c>
      <c r="G15" s="169">
        <v>278787</v>
      </c>
      <c r="H15" s="169">
        <v>285667</v>
      </c>
      <c r="I15" s="169">
        <v>292096</v>
      </c>
      <c r="J15" s="169">
        <v>293200</v>
      </c>
      <c r="K15" s="169">
        <v>294818</v>
      </c>
      <c r="L15" s="169">
        <v>293472</v>
      </c>
      <c r="M15" s="169">
        <v>296344</v>
      </c>
      <c r="N15" s="169">
        <v>302276</v>
      </c>
      <c r="O15" s="169">
        <v>295747</v>
      </c>
      <c r="P15" s="169">
        <v>289294</v>
      </c>
      <c r="Q15" s="15">
        <v>293439</v>
      </c>
      <c r="R15" s="15">
        <v>290106</v>
      </c>
      <c r="S15" s="15">
        <v>279006</v>
      </c>
      <c r="T15" s="15">
        <v>269657</v>
      </c>
      <c r="U15" s="15">
        <v>260644</v>
      </c>
      <c r="V15" s="15"/>
      <c r="W15" s="15"/>
      <c r="X15" s="15"/>
      <c r="Y15" s="15"/>
      <c r="Z15" s="15"/>
    </row>
    <row r="16" spans="1:26" x14ac:dyDescent="0.3">
      <c r="A16" t="s">
        <v>2</v>
      </c>
      <c r="B16">
        <v>14</v>
      </c>
      <c r="C16">
        <v>256959</v>
      </c>
      <c r="D16">
        <v>256959</v>
      </c>
      <c r="E16">
        <v>256078</v>
      </c>
      <c r="F16" s="169">
        <v>259018</v>
      </c>
      <c r="G16" s="169">
        <v>263612</v>
      </c>
      <c r="H16" s="169">
        <v>278965</v>
      </c>
      <c r="I16" s="169">
        <v>280140</v>
      </c>
      <c r="J16" s="169">
        <v>275380</v>
      </c>
      <c r="K16" s="169">
        <v>276419</v>
      </c>
      <c r="L16" s="169">
        <v>277942</v>
      </c>
      <c r="M16" s="169">
        <v>276672</v>
      </c>
      <c r="N16" s="169">
        <v>279376</v>
      </c>
      <c r="O16" s="169">
        <v>284965</v>
      </c>
      <c r="P16" s="169">
        <v>278806</v>
      </c>
      <c r="Q16" s="15">
        <v>272721</v>
      </c>
      <c r="R16" s="15">
        <v>276628</v>
      </c>
      <c r="S16" s="15">
        <v>273486</v>
      </c>
      <c r="T16" s="15">
        <v>263021</v>
      </c>
      <c r="U16" s="15">
        <v>254206</v>
      </c>
      <c r="V16" s="15"/>
      <c r="W16" s="15"/>
      <c r="X16" s="15"/>
      <c r="Y16" s="15"/>
      <c r="Z16" s="15"/>
    </row>
    <row r="17" spans="1:26" x14ac:dyDescent="0.3">
      <c r="A17" t="s">
        <v>2</v>
      </c>
      <c r="B17">
        <v>15</v>
      </c>
      <c r="C17">
        <v>244442</v>
      </c>
      <c r="D17">
        <v>244442</v>
      </c>
      <c r="E17">
        <v>242082</v>
      </c>
      <c r="F17" s="169">
        <v>254686</v>
      </c>
      <c r="G17" s="169">
        <v>258767</v>
      </c>
      <c r="H17" s="169">
        <v>264454</v>
      </c>
      <c r="I17" s="169">
        <v>274349</v>
      </c>
      <c r="J17" s="169">
        <v>272522</v>
      </c>
      <c r="K17" s="169">
        <v>267901</v>
      </c>
      <c r="L17" s="169">
        <v>268921</v>
      </c>
      <c r="M17" s="169">
        <v>270413</v>
      </c>
      <c r="N17" s="169">
        <v>269186</v>
      </c>
      <c r="O17" s="169">
        <v>271826</v>
      </c>
      <c r="P17" s="169">
        <v>277273</v>
      </c>
      <c r="Q17" s="15">
        <v>271282</v>
      </c>
      <c r="R17" s="15">
        <v>265364</v>
      </c>
      <c r="S17" s="15">
        <v>269168</v>
      </c>
      <c r="T17" s="15">
        <v>266113</v>
      </c>
      <c r="U17" s="15">
        <v>255931</v>
      </c>
      <c r="V17" s="15"/>
      <c r="W17" s="15"/>
      <c r="X17" s="15"/>
      <c r="Y17" s="15"/>
      <c r="Z17" s="15"/>
    </row>
    <row r="18" spans="1:26" x14ac:dyDescent="0.3">
      <c r="A18" t="s">
        <v>2</v>
      </c>
      <c r="B18">
        <v>16</v>
      </c>
      <c r="C18">
        <v>246855</v>
      </c>
      <c r="D18">
        <v>246855</v>
      </c>
      <c r="E18">
        <v>242892</v>
      </c>
      <c r="F18" s="169">
        <v>248537</v>
      </c>
      <c r="G18" s="169">
        <v>256303</v>
      </c>
      <c r="H18" s="169">
        <v>261631</v>
      </c>
      <c r="I18" s="169">
        <v>262836</v>
      </c>
      <c r="J18" s="169">
        <v>260180</v>
      </c>
      <c r="K18" s="169">
        <v>258476</v>
      </c>
      <c r="L18" s="169">
        <v>254121</v>
      </c>
      <c r="M18" s="169">
        <v>255116</v>
      </c>
      <c r="N18" s="169">
        <v>256559</v>
      </c>
      <c r="O18" s="169">
        <v>255423</v>
      </c>
      <c r="P18" s="169">
        <v>257955</v>
      </c>
      <c r="Q18" s="15">
        <v>263133</v>
      </c>
      <c r="R18" s="15">
        <v>257454</v>
      </c>
      <c r="S18" s="15">
        <v>251841</v>
      </c>
      <c r="T18" s="15">
        <v>255455</v>
      </c>
      <c r="U18" s="15">
        <v>252561</v>
      </c>
      <c r="V18" s="15"/>
      <c r="W18" s="15"/>
      <c r="X18" s="15"/>
      <c r="Y18" s="15"/>
      <c r="Z18" s="15"/>
    </row>
    <row r="19" spans="1:26" x14ac:dyDescent="0.3">
      <c r="A19" t="s">
        <v>2</v>
      </c>
      <c r="B19">
        <v>17</v>
      </c>
      <c r="C19">
        <v>256260</v>
      </c>
      <c r="D19">
        <v>256260</v>
      </c>
      <c r="E19">
        <v>246412</v>
      </c>
      <c r="F19" s="169">
        <v>243210</v>
      </c>
      <c r="G19" s="169">
        <v>251483</v>
      </c>
      <c r="H19" s="169">
        <v>259747</v>
      </c>
      <c r="I19" s="169">
        <v>261333</v>
      </c>
      <c r="J19" s="169">
        <v>254386</v>
      </c>
      <c r="K19" s="169">
        <v>251864</v>
      </c>
      <c r="L19" s="169">
        <v>250263</v>
      </c>
      <c r="M19" s="169">
        <v>246094</v>
      </c>
      <c r="N19" s="169">
        <v>247106</v>
      </c>
      <c r="O19" s="169">
        <v>248552</v>
      </c>
      <c r="P19" s="169">
        <v>247498</v>
      </c>
      <c r="Q19" s="15">
        <v>249971</v>
      </c>
      <c r="R19" s="15">
        <v>254994</v>
      </c>
      <c r="S19" s="15">
        <v>249495</v>
      </c>
      <c r="T19" s="15">
        <v>244059</v>
      </c>
      <c r="U19" s="15">
        <v>247565</v>
      </c>
      <c r="V19" s="15"/>
      <c r="W19" s="15"/>
      <c r="X19" s="15"/>
      <c r="Y19" s="15"/>
      <c r="Z19" s="15"/>
    </row>
    <row r="20" spans="1:26" x14ac:dyDescent="0.3">
      <c r="A20" t="s">
        <v>2</v>
      </c>
      <c r="B20">
        <v>18</v>
      </c>
      <c r="C20">
        <v>257790</v>
      </c>
      <c r="D20">
        <v>257790</v>
      </c>
      <c r="E20">
        <v>253015</v>
      </c>
      <c r="F20" s="169">
        <v>234645</v>
      </c>
      <c r="G20" s="169">
        <v>246346</v>
      </c>
      <c r="H20" s="169">
        <v>257461</v>
      </c>
      <c r="I20" s="169">
        <v>262496</v>
      </c>
      <c r="J20" s="169">
        <v>259778</v>
      </c>
      <c r="K20" s="169">
        <v>252946</v>
      </c>
      <c r="L20" s="169">
        <v>250512</v>
      </c>
      <c r="M20" s="169">
        <v>248992</v>
      </c>
      <c r="N20" s="169">
        <v>244915</v>
      </c>
      <c r="O20" s="169">
        <v>245993</v>
      </c>
      <c r="P20" s="169">
        <v>247505</v>
      </c>
      <c r="Q20" s="15">
        <v>246488</v>
      </c>
      <c r="R20" s="15">
        <v>248955</v>
      </c>
      <c r="S20" s="15">
        <v>253961</v>
      </c>
      <c r="T20" s="15">
        <v>248488</v>
      </c>
      <c r="U20" s="15">
        <v>243078</v>
      </c>
      <c r="V20" s="15"/>
      <c r="W20" s="15"/>
      <c r="X20" s="15"/>
      <c r="Y20" s="15"/>
      <c r="Z20" s="15"/>
    </row>
    <row r="21" spans="1:26" x14ac:dyDescent="0.3">
      <c r="A21" t="s">
        <v>2</v>
      </c>
      <c r="B21">
        <v>19</v>
      </c>
      <c r="C21">
        <v>273748</v>
      </c>
      <c r="D21">
        <v>273748</v>
      </c>
      <c r="E21">
        <v>267312</v>
      </c>
      <c r="F21" s="169">
        <v>254291</v>
      </c>
      <c r="G21" s="169">
        <v>264497</v>
      </c>
      <c r="H21" s="169">
        <v>278885</v>
      </c>
      <c r="I21" s="169">
        <v>285834</v>
      </c>
      <c r="J21" s="169">
        <v>282818</v>
      </c>
      <c r="K21" s="169">
        <v>279999</v>
      </c>
      <c r="L21" s="169">
        <v>272741</v>
      </c>
      <c r="M21" s="169">
        <v>270220</v>
      </c>
      <c r="N21" s="169">
        <v>268684</v>
      </c>
      <c r="O21" s="169">
        <v>264386</v>
      </c>
      <c r="P21" s="169">
        <v>265652</v>
      </c>
      <c r="Q21" s="15">
        <v>267333</v>
      </c>
      <c r="R21" s="15">
        <v>266240</v>
      </c>
      <c r="S21" s="15">
        <v>268909</v>
      </c>
      <c r="T21" s="15">
        <v>274319</v>
      </c>
      <c r="U21" s="15">
        <v>268410</v>
      </c>
      <c r="V21" s="15"/>
      <c r="W21" s="15"/>
      <c r="X21" s="15"/>
      <c r="Y21" s="15"/>
      <c r="Z21" s="15"/>
    </row>
    <row r="22" spans="1:26" x14ac:dyDescent="0.3">
      <c r="A22" t="s">
        <v>2</v>
      </c>
      <c r="B22">
        <v>20</v>
      </c>
      <c r="C22">
        <v>296606</v>
      </c>
      <c r="D22">
        <v>296606</v>
      </c>
      <c r="E22">
        <v>292488</v>
      </c>
      <c r="F22" s="169">
        <v>290162</v>
      </c>
      <c r="G22" s="169">
        <v>286192</v>
      </c>
      <c r="H22" s="169">
        <v>293901</v>
      </c>
      <c r="I22" s="169">
        <v>299763</v>
      </c>
      <c r="J22" s="169">
        <v>295953</v>
      </c>
      <c r="K22" s="169">
        <v>292969</v>
      </c>
      <c r="L22" s="169">
        <v>290187</v>
      </c>
      <c r="M22" s="169">
        <v>282797</v>
      </c>
      <c r="N22" s="169">
        <v>280316</v>
      </c>
      <c r="O22" s="169">
        <v>278853</v>
      </c>
      <c r="P22" s="169">
        <v>274521</v>
      </c>
      <c r="Q22" s="15">
        <v>275900</v>
      </c>
      <c r="R22" s="15">
        <v>277652</v>
      </c>
      <c r="S22" s="15">
        <v>276525</v>
      </c>
      <c r="T22" s="15">
        <v>279302</v>
      </c>
      <c r="U22" s="15">
        <v>284926</v>
      </c>
      <c r="V22" s="15"/>
      <c r="W22" s="15"/>
      <c r="X22" s="15"/>
      <c r="Y22" s="15"/>
      <c r="Z22" s="15"/>
    </row>
    <row r="23" spans="1:26" x14ac:dyDescent="0.3">
      <c r="A23" t="s">
        <v>2</v>
      </c>
      <c r="B23">
        <v>21</v>
      </c>
      <c r="C23">
        <v>294342</v>
      </c>
      <c r="D23">
        <v>294342</v>
      </c>
      <c r="E23">
        <v>294530</v>
      </c>
      <c r="F23" s="169">
        <v>295050</v>
      </c>
      <c r="G23" s="169">
        <v>304503</v>
      </c>
      <c r="H23" s="169">
        <v>296894</v>
      </c>
      <c r="I23" s="169">
        <v>295954</v>
      </c>
      <c r="J23" s="169">
        <v>291280</v>
      </c>
      <c r="K23" s="169">
        <v>287732</v>
      </c>
      <c r="L23" s="169">
        <v>284981</v>
      </c>
      <c r="M23" s="169">
        <v>282424</v>
      </c>
      <c r="N23" s="169">
        <v>275377</v>
      </c>
      <c r="O23" s="169">
        <v>273105</v>
      </c>
      <c r="P23" s="169">
        <v>271822</v>
      </c>
      <c r="Q23" s="15">
        <v>267673</v>
      </c>
      <c r="R23" s="15">
        <v>269026</v>
      </c>
      <c r="S23" s="15">
        <v>270744</v>
      </c>
      <c r="T23" s="15">
        <v>269653</v>
      </c>
      <c r="U23" s="15">
        <v>272369</v>
      </c>
      <c r="V23" s="15"/>
      <c r="W23" s="15"/>
      <c r="X23" s="15"/>
      <c r="Y23" s="15"/>
      <c r="Z23" s="15"/>
    </row>
    <row r="24" spans="1:26" x14ac:dyDescent="0.3">
      <c r="A24" t="s">
        <v>2</v>
      </c>
      <c r="B24">
        <v>22</v>
      </c>
      <c r="C24">
        <v>302885</v>
      </c>
      <c r="D24">
        <v>302885</v>
      </c>
      <c r="E24">
        <v>305986</v>
      </c>
      <c r="F24" s="169">
        <v>295063</v>
      </c>
      <c r="G24" s="169">
        <v>320032</v>
      </c>
      <c r="H24" s="169">
        <v>325725</v>
      </c>
      <c r="I24" s="169">
        <v>306598</v>
      </c>
      <c r="J24" s="169">
        <v>301131</v>
      </c>
      <c r="K24" s="169">
        <v>296538</v>
      </c>
      <c r="L24" s="169">
        <v>293086</v>
      </c>
      <c r="M24" s="169">
        <v>290443</v>
      </c>
      <c r="N24" s="169">
        <v>287993</v>
      </c>
      <c r="O24" s="169">
        <v>280960</v>
      </c>
      <c r="P24" s="169">
        <v>278793</v>
      </c>
      <c r="Q24" s="15">
        <v>277563</v>
      </c>
      <c r="R24" s="15">
        <v>273334</v>
      </c>
      <c r="S24" s="15">
        <v>274724</v>
      </c>
      <c r="T24" s="15">
        <v>276488</v>
      </c>
      <c r="U24" s="15">
        <v>275382</v>
      </c>
      <c r="V24" s="15"/>
      <c r="W24" s="15"/>
      <c r="X24" s="15"/>
      <c r="Y24" s="15"/>
      <c r="Z24" s="15"/>
    </row>
    <row r="25" spans="1:26" x14ac:dyDescent="0.3">
      <c r="A25" t="s">
        <v>2</v>
      </c>
      <c r="B25">
        <v>23</v>
      </c>
      <c r="C25">
        <v>320179</v>
      </c>
      <c r="D25">
        <v>320179</v>
      </c>
      <c r="E25">
        <v>323059</v>
      </c>
      <c r="F25" s="169">
        <v>315946</v>
      </c>
      <c r="G25" s="169">
        <v>322057</v>
      </c>
      <c r="H25" s="169">
        <v>342553</v>
      </c>
      <c r="I25" s="169">
        <v>335577</v>
      </c>
      <c r="J25" s="169">
        <v>329555</v>
      </c>
      <c r="K25" s="169">
        <v>323855</v>
      </c>
      <c r="L25" s="169">
        <v>319087</v>
      </c>
      <c r="M25" s="169">
        <v>315542</v>
      </c>
      <c r="N25" s="169">
        <v>312865</v>
      </c>
      <c r="O25" s="169">
        <v>310392</v>
      </c>
      <c r="P25" s="169">
        <v>302975</v>
      </c>
      <c r="Q25" s="15">
        <v>300724</v>
      </c>
      <c r="R25" s="15">
        <v>299406</v>
      </c>
      <c r="S25" s="15">
        <v>294853</v>
      </c>
      <c r="T25" s="15">
        <v>296362</v>
      </c>
      <c r="U25" s="15">
        <v>298272</v>
      </c>
      <c r="V25" s="15"/>
      <c r="W25" s="15"/>
      <c r="X25" s="15"/>
      <c r="Y25" s="15"/>
      <c r="Z25" s="15"/>
    </row>
    <row r="26" spans="1:26" x14ac:dyDescent="0.3">
      <c r="A26" t="s">
        <v>2</v>
      </c>
      <c r="B26">
        <v>24</v>
      </c>
      <c r="C26">
        <v>314098</v>
      </c>
      <c r="D26">
        <v>314098</v>
      </c>
      <c r="E26">
        <v>317350</v>
      </c>
      <c r="F26" s="169">
        <v>312441</v>
      </c>
      <c r="G26" s="169">
        <v>331257</v>
      </c>
      <c r="H26" s="169">
        <v>331805</v>
      </c>
      <c r="I26" s="169">
        <v>338560</v>
      </c>
      <c r="J26" s="169">
        <v>335576</v>
      </c>
      <c r="K26" s="169">
        <v>329725</v>
      </c>
      <c r="L26" s="169">
        <v>324189</v>
      </c>
      <c r="M26" s="169">
        <v>319580</v>
      </c>
      <c r="N26" s="169">
        <v>316194</v>
      </c>
      <c r="O26" s="169">
        <v>313672</v>
      </c>
      <c r="P26" s="169">
        <v>311352</v>
      </c>
      <c r="Q26" s="15">
        <v>303996</v>
      </c>
      <c r="R26" s="15">
        <v>301747</v>
      </c>
      <c r="S26" s="15">
        <v>300432</v>
      </c>
      <c r="T26" s="15">
        <v>295871</v>
      </c>
      <c r="U26" s="15">
        <v>297393</v>
      </c>
      <c r="V26" s="15"/>
      <c r="W26" s="15"/>
      <c r="X26" s="15"/>
      <c r="Y26" s="15"/>
      <c r="Z26" s="15"/>
    </row>
    <row r="27" spans="1:26" x14ac:dyDescent="0.3">
      <c r="A27" t="s">
        <v>2</v>
      </c>
      <c r="B27">
        <v>25</v>
      </c>
      <c r="C27">
        <v>320753</v>
      </c>
      <c r="D27">
        <v>320753</v>
      </c>
      <c r="E27">
        <v>322610</v>
      </c>
      <c r="F27" s="169">
        <v>320369</v>
      </c>
      <c r="G27" s="169">
        <v>336375</v>
      </c>
      <c r="H27" s="169">
        <v>349675</v>
      </c>
      <c r="I27" s="169">
        <v>336555</v>
      </c>
      <c r="J27" s="169">
        <v>336222</v>
      </c>
      <c r="K27" s="169">
        <v>333421</v>
      </c>
      <c r="L27" s="169">
        <v>327766</v>
      </c>
      <c r="M27" s="169">
        <v>322421</v>
      </c>
      <c r="N27" s="169">
        <v>317991</v>
      </c>
      <c r="O27" s="169">
        <v>314775</v>
      </c>
      <c r="P27" s="169">
        <v>312416</v>
      </c>
      <c r="Q27" s="15">
        <v>310187</v>
      </c>
      <c r="R27" s="15">
        <v>302867</v>
      </c>
      <c r="S27" s="15">
        <v>300634</v>
      </c>
      <c r="T27" s="15">
        <v>299333</v>
      </c>
      <c r="U27" s="15">
        <v>294795</v>
      </c>
      <c r="V27" s="15"/>
      <c r="W27" s="15"/>
      <c r="X27" s="15"/>
      <c r="Y27" s="15"/>
      <c r="Z27" s="15"/>
    </row>
    <row r="28" spans="1:26" x14ac:dyDescent="0.3">
      <c r="A28" t="s">
        <v>2</v>
      </c>
      <c r="B28">
        <v>26</v>
      </c>
      <c r="C28">
        <v>340399</v>
      </c>
      <c r="D28">
        <v>340399</v>
      </c>
      <c r="E28">
        <v>339409</v>
      </c>
      <c r="F28" s="169">
        <v>332626</v>
      </c>
      <c r="G28" s="169">
        <v>347632</v>
      </c>
      <c r="H28" s="169">
        <v>358545</v>
      </c>
      <c r="I28" s="169">
        <v>358011</v>
      </c>
      <c r="J28" s="169">
        <v>358214</v>
      </c>
      <c r="K28" s="169">
        <v>358023</v>
      </c>
      <c r="L28" s="169">
        <v>355201</v>
      </c>
      <c r="M28" s="169">
        <v>349334</v>
      </c>
      <c r="N28" s="169">
        <v>343793</v>
      </c>
      <c r="O28" s="169">
        <v>339223</v>
      </c>
      <c r="P28" s="169">
        <v>335944</v>
      </c>
      <c r="Q28" s="15">
        <v>333510</v>
      </c>
      <c r="R28" s="15">
        <v>331139</v>
      </c>
      <c r="S28" s="15">
        <v>323334</v>
      </c>
      <c r="T28" s="15">
        <v>320959</v>
      </c>
      <c r="U28" s="15">
        <v>319579</v>
      </c>
      <c r="V28" s="15"/>
      <c r="W28" s="15"/>
      <c r="X28" s="15"/>
      <c r="Y28" s="15"/>
      <c r="Z28" s="15"/>
    </row>
    <row r="29" spans="1:26" x14ac:dyDescent="0.3">
      <c r="A29" t="s">
        <v>2</v>
      </c>
      <c r="B29">
        <v>27</v>
      </c>
      <c r="C29">
        <v>357103</v>
      </c>
      <c r="D29">
        <v>357103</v>
      </c>
      <c r="E29">
        <v>354238</v>
      </c>
      <c r="F29" s="169">
        <v>341334</v>
      </c>
      <c r="G29" s="169">
        <v>359016</v>
      </c>
      <c r="H29" s="169">
        <v>369318</v>
      </c>
      <c r="I29" s="169">
        <v>367641</v>
      </c>
      <c r="J29" s="169">
        <v>367728</v>
      </c>
      <c r="K29" s="169">
        <v>368090</v>
      </c>
      <c r="L29" s="169">
        <v>368046</v>
      </c>
      <c r="M29" s="169">
        <v>365298</v>
      </c>
      <c r="N29" s="169">
        <v>359412</v>
      </c>
      <c r="O29" s="169">
        <v>353857</v>
      </c>
      <c r="P29" s="169">
        <v>349298</v>
      </c>
      <c r="Q29" s="15">
        <v>346002</v>
      </c>
      <c r="R29" s="15">
        <v>343505</v>
      </c>
      <c r="S29" s="15">
        <v>341072</v>
      </c>
      <c r="T29" s="15">
        <v>333040</v>
      </c>
      <c r="U29" s="15">
        <v>330602</v>
      </c>
      <c r="V29" s="15"/>
      <c r="W29" s="15"/>
      <c r="X29" s="15"/>
      <c r="Y29" s="15"/>
      <c r="Z29" s="15"/>
    </row>
    <row r="30" spans="1:26" x14ac:dyDescent="0.3">
      <c r="A30" t="s">
        <v>2</v>
      </c>
      <c r="B30">
        <v>28</v>
      </c>
      <c r="C30">
        <v>373893</v>
      </c>
      <c r="D30">
        <v>373893</v>
      </c>
      <c r="E30">
        <v>371742</v>
      </c>
      <c r="F30" s="169">
        <v>350478</v>
      </c>
      <c r="G30" s="169">
        <v>367295</v>
      </c>
      <c r="H30" s="169">
        <v>379446</v>
      </c>
      <c r="I30" s="169">
        <v>376843</v>
      </c>
      <c r="J30" s="169">
        <v>377204</v>
      </c>
      <c r="K30" s="169">
        <v>377435</v>
      </c>
      <c r="L30" s="169">
        <v>377948</v>
      </c>
      <c r="M30" s="169">
        <v>378044</v>
      </c>
      <c r="N30" s="169">
        <v>375362</v>
      </c>
      <c r="O30" s="169">
        <v>369452</v>
      </c>
      <c r="P30" s="169">
        <v>363879</v>
      </c>
      <c r="Q30" s="15">
        <v>359266</v>
      </c>
      <c r="R30" s="15">
        <v>355887</v>
      </c>
      <c r="S30" s="15">
        <v>353328</v>
      </c>
      <c r="T30" s="15">
        <v>350833</v>
      </c>
      <c r="U30" s="15">
        <v>342580</v>
      </c>
      <c r="V30" s="15"/>
      <c r="W30" s="15"/>
      <c r="X30" s="15"/>
      <c r="Y30" s="15"/>
      <c r="Z30" s="15"/>
    </row>
    <row r="31" spans="1:26" x14ac:dyDescent="0.3">
      <c r="A31" t="s">
        <v>2</v>
      </c>
      <c r="B31">
        <v>29</v>
      </c>
      <c r="C31">
        <v>407073</v>
      </c>
      <c r="D31">
        <v>407073</v>
      </c>
      <c r="E31">
        <v>405138</v>
      </c>
      <c r="F31" s="169">
        <v>371689</v>
      </c>
      <c r="G31" s="169">
        <v>371932</v>
      </c>
      <c r="H31" s="169">
        <v>384944</v>
      </c>
      <c r="I31" s="169">
        <v>384730</v>
      </c>
      <c r="J31" s="169">
        <v>385146</v>
      </c>
      <c r="K31" s="169">
        <v>385646</v>
      </c>
      <c r="L31" s="169">
        <v>386012</v>
      </c>
      <c r="M31" s="169">
        <v>386666</v>
      </c>
      <c r="N31" s="169">
        <v>386896</v>
      </c>
      <c r="O31" s="169">
        <v>384279</v>
      </c>
      <c r="P31" s="169">
        <v>378356</v>
      </c>
      <c r="Q31" s="15">
        <v>372720</v>
      </c>
      <c r="R31" s="15">
        <v>368005</v>
      </c>
      <c r="S31" s="15">
        <v>364554</v>
      </c>
      <c r="T31" s="15">
        <v>361942</v>
      </c>
      <c r="U31" s="15">
        <v>359394</v>
      </c>
      <c r="V31" s="15"/>
      <c r="W31" s="15"/>
      <c r="X31" s="15"/>
      <c r="Y31" s="15"/>
      <c r="Z31" s="15"/>
    </row>
    <row r="32" spans="1:26" x14ac:dyDescent="0.3">
      <c r="A32" t="s">
        <v>2</v>
      </c>
      <c r="B32">
        <v>30</v>
      </c>
      <c r="C32">
        <v>422445</v>
      </c>
      <c r="D32">
        <v>422445</v>
      </c>
      <c r="E32">
        <v>420905</v>
      </c>
      <c r="F32" s="169">
        <v>379085</v>
      </c>
      <c r="G32" s="169">
        <v>392106</v>
      </c>
      <c r="H32" s="169">
        <v>387736</v>
      </c>
      <c r="I32" s="169">
        <v>387692</v>
      </c>
      <c r="J32" s="169">
        <v>388028</v>
      </c>
      <c r="K32" s="169">
        <v>388566</v>
      </c>
      <c r="L32" s="169">
        <v>389188</v>
      </c>
      <c r="M32" s="169">
        <v>389674</v>
      </c>
      <c r="N32" s="169">
        <v>390452</v>
      </c>
      <c r="O32" s="169">
        <v>390801</v>
      </c>
      <c r="P32" s="169">
        <v>388275</v>
      </c>
      <c r="Q32" s="15">
        <v>382356</v>
      </c>
      <c r="R32" s="15">
        <v>376672</v>
      </c>
      <c r="S32" s="15">
        <v>371916</v>
      </c>
      <c r="T32" s="15">
        <v>368439</v>
      </c>
      <c r="U32" s="15">
        <v>365808</v>
      </c>
      <c r="V32" s="15"/>
      <c r="W32" s="15"/>
      <c r="X32" s="15"/>
      <c r="Y32" s="15"/>
      <c r="Z32" s="15"/>
    </row>
    <row r="33" spans="1:26" x14ac:dyDescent="0.3">
      <c r="A33" t="s">
        <v>2</v>
      </c>
      <c r="B33">
        <v>31</v>
      </c>
      <c r="C33">
        <v>429188</v>
      </c>
      <c r="D33">
        <v>429188</v>
      </c>
      <c r="E33">
        <v>428397</v>
      </c>
      <c r="F33" s="169">
        <v>408571</v>
      </c>
      <c r="G33" s="169">
        <v>398787</v>
      </c>
      <c r="H33" s="169">
        <v>407971</v>
      </c>
      <c r="I33" s="169">
        <v>391415</v>
      </c>
      <c r="J33" s="169">
        <v>392519</v>
      </c>
      <c r="K33" s="169">
        <v>392968</v>
      </c>
      <c r="L33" s="169">
        <v>393620</v>
      </c>
      <c r="M33" s="169">
        <v>394355</v>
      </c>
      <c r="N33" s="169">
        <v>394954</v>
      </c>
      <c r="O33" s="169">
        <v>395848</v>
      </c>
      <c r="P33" s="169">
        <v>396308</v>
      </c>
      <c r="Q33" s="15">
        <v>393808</v>
      </c>
      <c r="R33" s="15">
        <v>387816</v>
      </c>
      <c r="S33" s="15">
        <v>382061</v>
      </c>
      <c r="T33" s="15">
        <v>377247</v>
      </c>
      <c r="U33" s="15">
        <v>373729</v>
      </c>
      <c r="V33" s="15"/>
      <c r="W33" s="15"/>
      <c r="X33" s="15"/>
      <c r="Y33" s="15"/>
      <c r="Z33" s="15"/>
    </row>
    <row r="34" spans="1:26" x14ac:dyDescent="0.3">
      <c r="A34" t="s">
        <v>2</v>
      </c>
      <c r="B34">
        <v>32</v>
      </c>
      <c r="C34">
        <v>445356</v>
      </c>
      <c r="D34">
        <v>445356</v>
      </c>
      <c r="E34">
        <v>445333</v>
      </c>
      <c r="F34" s="169">
        <v>428889</v>
      </c>
      <c r="G34" s="169">
        <v>428957</v>
      </c>
      <c r="H34" s="169">
        <v>414216</v>
      </c>
      <c r="I34" s="169">
        <v>411461</v>
      </c>
      <c r="J34" s="169">
        <v>412590</v>
      </c>
      <c r="K34" s="169">
        <v>413856</v>
      </c>
      <c r="L34" s="169">
        <v>414429</v>
      </c>
      <c r="M34" s="169">
        <v>415217</v>
      </c>
      <c r="N34" s="169">
        <v>416091</v>
      </c>
      <c r="O34" s="169">
        <v>416823</v>
      </c>
      <c r="P34" s="169">
        <v>417866</v>
      </c>
      <c r="Q34" s="15">
        <v>418410</v>
      </c>
      <c r="R34" s="15">
        <v>415783</v>
      </c>
      <c r="S34" s="15">
        <v>409468</v>
      </c>
      <c r="T34" s="15">
        <v>403402</v>
      </c>
      <c r="U34" s="15">
        <v>398329</v>
      </c>
      <c r="V34" s="15"/>
      <c r="W34" s="15"/>
      <c r="X34" s="15"/>
      <c r="Y34" s="15"/>
      <c r="Z34" s="15"/>
    </row>
    <row r="35" spans="1:26" x14ac:dyDescent="0.3">
      <c r="A35" t="s">
        <v>2</v>
      </c>
      <c r="B35">
        <v>33</v>
      </c>
      <c r="C35">
        <v>438078</v>
      </c>
      <c r="D35">
        <v>438078</v>
      </c>
      <c r="E35">
        <v>438400</v>
      </c>
      <c r="F35" s="169">
        <v>435041</v>
      </c>
      <c r="G35" s="169">
        <v>448706</v>
      </c>
      <c r="H35" s="169">
        <v>443280</v>
      </c>
      <c r="I35" s="169">
        <v>416746</v>
      </c>
      <c r="J35" s="169">
        <v>415895</v>
      </c>
      <c r="K35" s="169">
        <v>417127</v>
      </c>
      <c r="L35" s="169">
        <v>418497</v>
      </c>
      <c r="M35" s="169">
        <v>419167</v>
      </c>
      <c r="N35" s="169">
        <v>420054</v>
      </c>
      <c r="O35" s="169">
        <v>421026</v>
      </c>
      <c r="P35" s="169">
        <v>421855</v>
      </c>
      <c r="Q35" s="15">
        <v>422965</v>
      </c>
      <c r="R35" s="15">
        <v>423529</v>
      </c>
      <c r="S35" s="15">
        <v>420882</v>
      </c>
      <c r="T35" s="15">
        <v>414501</v>
      </c>
      <c r="U35" s="15">
        <v>408370</v>
      </c>
      <c r="V35" s="15"/>
      <c r="W35" s="15"/>
      <c r="X35" s="15"/>
      <c r="Y35" s="15"/>
      <c r="Z35" s="15"/>
    </row>
    <row r="36" spans="1:26" x14ac:dyDescent="0.3">
      <c r="A36" t="s">
        <v>2</v>
      </c>
      <c r="B36">
        <v>34</v>
      </c>
      <c r="C36">
        <v>447527</v>
      </c>
      <c r="D36">
        <v>447527</v>
      </c>
      <c r="E36">
        <v>448131</v>
      </c>
      <c r="F36" s="169">
        <v>445325</v>
      </c>
      <c r="G36" s="169">
        <v>451255</v>
      </c>
      <c r="H36" s="169">
        <v>460461</v>
      </c>
      <c r="I36" s="169">
        <v>442146</v>
      </c>
      <c r="J36" s="169">
        <v>438327</v>
      </c>
      <c r="K36" s="169">
        <v>437516</v>
      </c>
      <c r="L36" s="169">
        <v>438897</v>
      </c>
      <c r="M36" s="169">
        <v>440422</v>
      </c>
      <c r="N36" s="169">
        <v>441211</v>
      </c>
      <c r="O36" s="169">
        <v>442228</v>
      </c>
      <c r="P36" s="169">
        <v>443334</v>
      </c>
      <c r="Q36" s="15">
        <v>444259</v>
      </c>
      <c r="R36" s="15">
        <v>445442</v>
      </c>
      <c r="S36" s="15">
        <v>446048</v>
      </c>
      <c r="T36" s="15">
        <v>443274</v>
      </c>
      <c r="U36" s="15">
        <v>436564</v>
      </c>
      <c r="V36" s="15"/>
      <c r="W36" s="15"/>
      <c r="X36" s="15"/>
      <c r="Y36" s="15"/>
      <c r="Z36" s="15"/>
    </row>
    <row r="37" spans="1:26" x14ac:dyDescent="0.3">
      <c r="A37" t="s">
        <v>2</v>
      </c>
      <c r="B37">
        <v>35</v>
      </c>
      <c r="C37">
        <v>473796</v>
      </c>
      <c r="D37">
        <v>473796</v>
      </c>
      <c r="E37">
        <v>476523</v>
      </c>
      <c r="F37" s="169">
        <v>450068</v>
      </c>
      <c r="G37" s="169">
        <v>461193</v>
      </c>
      <c r="H37" s="169">
        <v>462804</v>
      </c>
      <c r="I37" s="169">
        <v>460317</v>
      </c>
      <c r="J37" s="169">
        <v>454318</v>
      </c>
      <c r="K37" s="169">
        <v>450473</v>
      </c>
      <c r="L37" s="169">
        <v>449718</v>
      </c>
      <c r="M37" s="169">
        <v>451215</v>
      </c>
      <c r="N37" s="169">
        <v>452861</v>
      </c>
      <c r="O37" s="169">
        <v>453749</v>
      </c>
      <c r="P37" s="169">
        <v>454872</v>
      </c>
      <c r="Q37" s="15">
        <v>456059</v>
      </c>
      <c r="R37" s="15">
        <v>457026</v>
      </c>
      <c r="S37" s="15">
        <v>458258</v>
      </c>
      <c r="T37" s="15">
        <v>458897</v>
      </c>
      <c r="U37" s="15">
        <v>456056</v>
      </c>
      <c r="V37" s="15"/>
      <c r="W37" s="15"/>
      <c r="X37" s="15"/>
      <c r="Y37" s="15"/>
      <c r="Z37" s="15"/>
    </row>
    <row r="38" spans="1:26" x14ac:dyDescent="0.3">
      <c r="A38" t="s">
        <v>2</v>
      </c>
      <c r="B38">
        <v>36</v>
      </c>
      <c r="C38">
        <v>484544</v>
      </c>
      <c r="D38">
        <v>484544</v>
      </c>
      <c r="E38">
        <v>490337</v>
      </c>
      <c r="F38" s="169">
        <v>439579</v>
      </c>
      <c r="G38" s="169">
        <v>465907</v>
      </c>
      <c r="H38" s="169">
        <v>472655</v>
      </c>
      <c r="I38" s="169">
        <v>462277</v>
      </c>
      <c r="J38" s="169">
        <v>455959</v>
      </c>
      <c r="K38" s="169">
        <v>450089</v>
      </c>
      <c r="L38" s="169">
        <v>446349</v>
      </c>
      <c r="M38" s="169">
        <v>445672</v>
      </c>
      <c r="N38" s="169">
        <v>447226</v>
      </c>
      <c r="O38" s="169">
        <v>448925</v>
      </c>
      <c r="P38" s="169">
        <v>449876</v>
      </c>
      <c r="Q38" s="15">
        <v>451034</v>
      </c>
      <c r="R38" s="15">
        <v>452230</v>
      </c>
      <c r="S38" s="15">
        <v>453206</v>
      </c>
      <c r="T38" s="15">
        <v>454443</v>
      </c>
      <c r="U38" s="15">
        <v>455093</v>
      </c>
      <c r="V38" s="15"/>
      <c r="W38" s="15"/>
      <c r="X38" s="15"/>
      <c r="Y38" s="15"/>
      <c r="Z38" s="15"/>
    </row>
    <row r="39" spans="1:26" x14ac:dyDescent="0.3">
      <c r="A39" t="s">
        <v>2</v>
      </c>
      <c r="B39">
        <v>37</v>
      </c>
      <c r="C39">
        <v>454722</v>
      </c>
      <c r="D39">
        <v>454722</v>
      </c>
      <c r="E39">
        <v>462294</v>
      </c>
      <c r="F39" s="169">
        <v>460413</v>
      </c>
      <c r="G39" s="169">
        <v>454021</v>
      </c>
      <c r="H39" s="169">
        <v>477192</v>
      </c>
      <c r="I39" s="169">
        <v>471903</v>
      </c>
      <c r="J39" s="169">
        <v>466888</v>
      </c>
      <c r="K39" s="169">
        <v>460575</v>
      </c>
      <c r="L39" s="169">
        <v>454710</v>
      </c>
      <c r="M39" s="169">
        <v>450994</v>
      </c>
      <c r="N39" s="169">
        <v>450374</v>
      </c>
      <c r="O39" s="169">
        <v>452007</v>
      </c>
      <c r="P39" s="169">
        <v>453786</v>
      </c>
      <c r="Q39" s="15">
        <v>454790</v>
      </c>
      <c r="R39" s="15">
        <v>455979</v>
      </c>
      <c r="S39" s="15">
        <v>457206</v>
      </c>
      <c r="T39" s="15">
        <v>458209</v>
      </c>
      <c r="U39" s="15">
        <v>459477</v>
      </c>
      <c r="V39" s="15"/>
      <c r="W39" s="15"/>
      <c r="X39" s="15"/>
      <c r="Y39" s="15"/>
      <c r="Z39" s="15"/>
    </row>
    <row r="40" spans="1:26" x14ac:dyDescent="0.3">
      <c r="A40" t="s">
        <v>2</v>
      </c>
      <c r="B40">
        <v>38</v>
      </c>
      <c r="C40">
        <v>443461</v>
      </c>
      <c r="D40">
        <v>443461</v>
      </c>
      <c r="E40">
        <v>451127</v>
      </c>
      <c r="F40" s="169">
        <v>481548</v>
      </c>
      <c r="G40" s="169">
        <v>473306</v>
      </c>
      <c r="H40" s="169">
        <v>463680</v>
      </c>
      <c r="I40" s="169">
        <v>475088</v>
      </c>
      <c r="J40" s="169">
        <v>471863</v>
      </c>
      <c r="K40" s="169">
        <v>466909</v>
      </c>
      <c r="L40" s="169">
        <v>460655</v>
      </c>
      <c r="M40" s="169">
        <v>454847</v>
      </c>
      <c r="N40" s="169">
        <v>451186</v>
      </c>
      <c r="O40" s="169">
        <v>450622</v>
      </c>
      <c r="P40" s="169">
        <v>452312</v>
      </c>
      <c r="Q40" s="15">
        <v>454131</v>
      </c>
      <c r="R40" s="15">
        <v>455156</v>
      </c>
      <c r="S40" s="15">
        <v>456366</v>
      </c>
      <c r="T40" s="15">
        <v>457611</v>
      </c>
      <c r="U40" s="15">
        <v>458630</v>
      </c>
      <c r="V40" s="15"/>
      <c r="W40" s="15"/>
      <c r="X40" s="15"/>
      <c r="Y40" s="15"/>
      <c r="Z40" s="15"/>
    </row>
    <row r="41" spans="1:26" x14ac:dyDescent="0.3">
      <c r="A41" t="s">
        <v>2</v>
      </c>
      <c r="B41">
        <v>39</v>
      </c>
      <c r="C41">
        <v>419009</v>
      </c>
      <c r="D41">
        <v>419009</v>
      </c>
      <c r="E41">
        <v>426537</v>
      </c>
      <c r="F41" s="169">
        <v>476145</v>
      </c>
      <c r="G41" s="169">
        <v>492666</v>
      </c>
      <c r="H41" s="169">
        <v>481082</v>
      </c>
      <c r="I41" s="169">
        <v>459615</v>
      </c>
      <c r="J41" s="169">
        <v>458990</v>
      </c>
      <c r="K41" s="169">
        <v>455928</v>
      </c>
      <c r="L41" s="169">
        <v>451194</v>
      </c>
      <c r="M41" s="169">
        <v>445202</v>
      </c>
      <c r="N41" s="169">
        <v>439639</v>
      </c>
      <c r="O41" s="169">
        <v>436151</v>
      </c>
      <c r="P41" s="169">
        <v>435654</v>
      </c>
      <c r="Q41" s="15">
        <v>437323</v>
      </c>
      <c r="R41" s="15">
        <v>439101</v>
      </c>
      <c r="S41" s="15">
        <v>440111</v>
      </c>
      <c r="T41" s="15">
        <v>441298</v>
      </c>
      <c r="U41" s="15">
        <v>442518</v>
      </c>
      <c r="V41" s="15"/>
      <c r="W41" s="15"/>
      <c r="X41" s="15"/>
      <c r="Y41" s="15"/>
      <c r="Z41" s="15"/>
    </row>
    <row r="42" spans="1:26" x14ac:dyDescent="0.3">
      <c r="A42" t="s">
        <v>2</v>
      </c>
      <c r="B42">
        <v>40</v>
      </c>
      <c r="C42">
        <v>402781</v>
      </c>
      <c r="D42">
        <v>402781</v>
      </c>
      <c r="E42">
        <v>411222</v>
      </c>
      <c r="F42" s="169">
        <v>439219</v>
      </c>
      <c r="G42" s="169">
        <v>486289</v>
      </c>
      <c r="H42" s="169">
        <v>500474</v>
      </c>
      <c r="I42" s="169">
        <v>477721</v>
      </c>
      <c r="J42" s="169">
        <v>479230</v>
      </c>
      <c r="K42" s="169">
        <v>478634</v>
      </c>
      <c r="L42" s="169">
        <v>475495</v>
      </c>
      <c r="M42" s="169">
        <v>470611</v>
      </c>
      <c r="N42" s="169">
        <v>464413</v>
      </c>
      <c r="O42" s="169">
        <v>458661</v>
      </c>
      <c r="P42" s="169">
        <v>455071</v>
      </c>
      <c r="Q42" s="15">
        <v>454591</v>
      </c>
      <c r="R42" s="15">
        <v>456356</v>
      </c>
      <c r="S42" s="15">
        <v>458234</v>
      </c>
      <c r="T42" s="15">
        <v>459311</v>
      </c>
      <c r="U42" s="15">
        <v>460571</v>
      </c>
      <c r="V42" s="15"/>
      <c r="W42" s="15"/>
      <c r="X42" s="15"/>
      <c r="Y42" s="15"/>
      <c r="Z42" s="15"/>
    </row>
    <row r="43" spans="1:26" x14ac:dyDescent="0.3">
      <c r="A43" t="s">
        <v>2</v>
      </c>
      <c r="B43">
        <v>41</v>
      </c>
      <c r="C43">
        <v>372317</v>
      </c>
      <c r="D43">
        <v>372317</v>
      </c>
      <c r="E43">
        <v>381460</v>
      </c>
      <c r="F43" s="169">
        <v>425054</v>
      </c>
      <c r="G43" s="169">
        <v>449145</v>
      </c>
      <c r="H43" s="169">
        <v>494470</v>
      </c>
      <c r="I43" s="169">
        <v>497380</v>
      </c>
      <c r="J43" s="169">
        <v>499140</v>
      </c>
      <c r="K43" s="169">
        <v>500774</v>
      </c>
      <c r="L43" s="169">
        <v>500209</v>
      </c>
      <c r="M43" s="169">
        <v>496983</v>
      </c>
      <c r="N43" s="169">
        <v>491934</v>
      </c>
      <c r="O43" s="169">
        <v>485510</v>
      </c>
      <c r="P43" s="169">
        <v>479547</v>
      </c>
      <c r="Q43" s="15">
        <v>475835</v>
      </c>
      <c r="R43" s="15">
        <v>475363</v>
      </c>
      <c r="S43" s="15">
        <v>477236</v>
      </c>
      <c r="T43" s="15">
        <v>479226</v>
      </c>
      <c r="U43" s="15">
        <v>480378</v>
      </c>
      <c r="V43" s="15"/>
      <c r="W43" s="15"/>
      <c r="X43" s="15"/>
      <c r="Y43" s="15"/>
      <c r="Z43" s="15"/>
    </row>
    <row r="44" spans="1:26" x14ac:dyDescent="0.3">
      <c r="A44" t="s">
        <v>2</v>
      </c>
      <c r="B44">
        <v>42</v>
      </c>
      <c r="C44">
        <v>353560</v>
      </c>
      <c r="D44">
        <v>353560</v>
      </c>
      <c r="E44">
        <v>363040</v>
      </c>
      <c r="F44" s="169">
        <v>401819</v>
      </c>
      <c r="G44" s="169">
        <v>434814</v>
      </c>
      <c r="H44" s="169">
        <v>456665</v>
      </c>
      <c r="I44" s="169">
        <v>491232</v>
      </c>
      <c r="J44" s="169">
        <v>493820</v>
      </c>
      <c r="K44" s="169">
        <v>495622</v>
      </c>
      <c r="L44" s="169">
        <v>497298</v>
      </c>
      <c r="M44" s="169">
        <v>496789</v>
      </c>
      <c r="N44" s="169">
        <v>493635</v>
      </c>
      <c r="O44" s="169">
        <v>488671</v>
      </c>
      <c r="P44" s="169">
        <v>482338</v>
      </c>
      <c r="Q44" s="15">
        <v>476453</v>
      </c>
      <c r="R44" s="15">
        <v>472795</v>
      </c>
      <c r="S44" s="15">
        <v>472353</v>
      </c>
      <c r="T44" s="15">
        <v>474240</v>
      </c>
      <c r="U44" s="15">
        <v>476244</v>
      </c>
      <c r="V44" s="15"/>
      <c r="W44" s="15"/>
      <c r="X44" s="15"/>
      <c r="Y44" s="15"/>
      <c r="Z44" s="15"/>
    </row>
    <row r="45" spans="1:26" x14ac:dyDescent="0.3">
      <c r="A45" t="s">
        <v>2</v>
      </c>
      <c r="B45">
        <v>43</v>
      </c>
      <c r="C45">
        <v>340145</v>
      </c>
      <c r="D45">
        <v>340145</v>
      </c>
      <c r="E45">
        <v>349603</v>
      </c>
      <c r="F45" s="169">
        <v>381925</v>
      </c>
      <c r="G45" s="169">
        <v>409320</v>
      </c>
      <c r="H45" s="169">
        <v>441716</v>
      </c>
      <c r="I45" s="169">
        <v>454107</v>
      </c>
      <c r="J45" s="169">
        <v>459828</v>
      </c>
      <c r="K45" s="169">
        <v>462298</v>
      </c>
      <c r="L45" s="169">
        <v>464032</v>
      </c>
      <c r="M45" s="169">
        <v>465647</v>
      </c>
      <c r="N45" s="169">
        <v>465215</v>
      </c>
      <c r="O45" s="169">
        <v>462307</v>
      </c>
      <c r="P45" s="169">
        <v>457701</v>
      </c>
      <c r="Q45" s="15">
        <v>451807</v>
      </c>
      <c r="R45" s="15">
        <v>446321</v>
      </c>
      <c r="S45" s="15">
        <v>442921</v>
      </c>
      <c r="T45" s="15">
        <v>442532</v>
      </c>
      <c r="U45" s="15">
        <v>444324</v>
      </c>
      <c r="V45" s="15"/>
      <c r="W45" s="15"/>
      <c r="X45" s="15"/>
      <c r="Y45" s="15"/>
      <c r="Z45" s="15"/>
    </row>
    <row r="46" spans="1:26" x14ac:dyDescent="0.3">
      <c r="A46" t="s">
        <v>2</v>
      </c>
      <c r="B46">
        <v>44</v>
      </c>
      <c r="C46">
        <v>316842</v>
      </c>
      <c r="D46">
        <v>316842</v>
      </c>
      <c r="E46">
        <v>326388</v>
      </c>
      <c r="F46" s="169">
        <v>355140</v>
      </c>
      <c r="G46" s="169">
        <v>385992</v>
      </c>
      <c r="H46" s="169">
        <v>413305</v>
      </c>
      <c r="I46" s="169">
        <v>436529</v>
      </c>
      <c r="J46" s="169">
        <v>446131</v>
      </c>
      <c r="K46" s="169">
        <v>451796</v>
      </c>
      <c r="L46" s="169">
        <v>454266</v>
      </c>
      <c r="M46" s="169">
        <v>456012</v>
      </c>
      <c r="N46" s="169">
        <v>457641</v>
      </c>
      <c r="O46" s="169">
        <v>457259</v>
      </c>
      <c r="P46" s="169">
        <v>454442</v>
      </c>
      <c r="Q46" s="15">
        <v>449949</v>
      </c>
      <c r="R46" s="15">
        <v>444182</v>
      </c>
      <c r="S46" s="15">
        <v>438816</v>
      </c>
      <c r="T46" s="15">
        <v>435498</v>
      </c>
      <c r="U46" s="15">
        <v>435139</v>
      </c>
      <c r="V46" s="15"/>
      <c r="W46" s="15"/>
      <c r="X46" s="15"/>
      <c r="Y46" s="15"/>
      <c r="Z46" s="15"/>
    </row>
    <row r="47" spans="1:26" x14ac:dyDescent="0.3">
      <c r="A47" t="s">
        <v>2</v>
      </c>
      <c r="B47">
        <v>45</v>
      </c>
      <c r="C47">
        <v>307992</v>
      </c>
      <c r="D47">
        <v>307992</v>
      </c>
      <c r="E47">
        <v>315345</v>
      </c>
      <c r="F47" s="169">
        <v>331369</v>
      </c>
      <c r="G47" s="169">
        <v>358515</v>
      </c>
      <c r="H47" s="169">
        <v>389217</v>
      </c>
      <c r="I47" s="169">
        <v>408647</v>
      </c>
      <c r="J47" s="169">
        <v>420426</v>
      </c>
      <c r="K47" s="169">
        <v>429718</v>
      </c>
      <c r="L47" s="169">
        <v>435217</v>
      </c>
      <c r="M47" s="169">
        <v>437640</v>
      </c>
      <c r="N47" s="169">
        <v>439366</v>
      </c>
      <c r="O47" s="169">
        <v>440978</v>
      </c>
      <c r="P47" s="169">
        <v>440652</v>
      </c>
      <c r="Q47" s="15">
        <v>437975</v>
      </c>
      <c r="R47" s="15">
        <v>433675</v>
      </c>
      <c r="S47" s="15">
        <v>428146</v>
      </c>
      <c r="T47" s="15">
        <v>423002</v>
      </c>
      <c r="U47" s="15">
        <v>419831</v>
      </c>
      <c r="V47" s="15"/>
      <c r="W47" s="15"/>
      <c r="X47" s="15"/>
      <c r="Y47" s="15"/>
      <c r="Z47" s="15"/>
    </row>
    <row r="48" spans="1:26" x14ac:dyDescent="0.3">
      <c r="A48" t="s">
        <v>2</v>
      </c>
      <c r="B48">
        <v>46</v>
      </c>
      <c r="C48">
        <v>298285</v>
      </c>
      <c r="D48">
        <v>298285</v>
      </c>
      <c r="E48">
        <v>302120</v>
      </c>
      <c r="F48" s="169">
        <v>318943</v>
      </c>
      <c r="G48" s="169">
        <v>336013</v>
      </c>
      <c r="H48" s="169">
        <v>363066</v>
      </c>
      <c r="I48" s="169">
        <v>386276</v>
      </c>
      <c r="J48" s="169">
        <v>399063</v>
      </c>
      <c r="K48" s="169">
        <v>410609</v>
      </c>
      <c r="L48" s="169">
        <v>419729</v>
      </c>
      <c r="M48" s="169">
        <v>425146</v>
      </c>
      <c r="N48" s="169">
        <v>427559</v>
      </c>
      <c r="O48" s="169">
        <v>429289</v>
      </c>
      <c r="P48" s="169">
        <v>430908</v>
      </c>
      <c r="Q48" s="15">
        <v>430629</v>
      </c>
      <c r="R48" s="15">
        <v>428047</v>
      </c>
      <c r="S48" s="15">
        <v>423878</v>
      </c>
      <c r="T48" s="15">
        <v>418507</v>
      </c>
      <c r="U48" s="15">
        <v>413510</v>
      </c>
      <c r="V48" s="15"/>
      <c r="W48" s="15"/>
      <c r="X48" s="15"/>
      <c r="Y48" s="15"/>
      <c r="Z48" s="15"/>
    </row>
    <row r="49" spans="1:26" x14ac:dyDescent="0.3">
      <c r="A49" t="s">
        <v>2</v>
      </c>
      <c r="B49">
        <v>47</v>
      </c>
      <c r="C49">
        <v>290619</v>
      </c>
      <c r="D49">
        <v>290619</v>
      </c>
      <c r="E49">
        <v>292256</v>
      </c>
      <c r="F49" s="169">
        <v>295541</v>
      </c>
      <c r="G49" s="169">
        <v>323434</v>
      </c>
      <c r="H49" s="169">
        <v>340607</v>
      </c>
      <c r="I49" s="169">
        <v>361160</v>
      </c>
      <c r="J49" s="169">
        <v>373123</v>
      </c>
      <c r="K49" s="169">
        <v>385516</v>
      </c>
      <c r="L49" s="169">
        <v>396711</v>
      </c>
      <c r="M49" s="169">
        <v>405564</v>
      </c>
      <c r="N49" s="169">
        <v>410840</v>
      </c>
      <c r="O49" s="169">
        <v>413212</v>
      </c>
      <c r="P49" s="169">
        <v>414926</v>
      </c>
      <c r="Q49" s="15">
        <v>416528</v>
      </c>
      <c r="R49" s="15">
        <v>416292</v>
      </c>
      <c r="S49" s="15">
        <v>413828</v>
      </c>
      <c r="T49" s="15">
        <v>409829</v>
      </c>
      <c r="U49" s="15">
        <v>404667</v>
      </c>
      <c r="V49" s="15"/>
      <c r="W49" s="15"/>
      <c r="X49" s="15"/>
      <c r="Y49" s="15"/>
      <c r="Z49" s="15"/>
    </row>
    <row r="50" spans="1:26" x14ac:dyDescent="0.3">
      <c r="A50" t="s">
        <v>2</v>
      </c>
      <c r="B50">
        <v>48</v>
      </c>
      <c r="C50">
        <v>276001</v>
      </c>
      <c r="D50">
        <v>276001</v>
      </c>
      <c r="E50">
        <v>277796</v>
      </c>
      <c r="F50" s="169">
        <v>293710</v>
      </c>
      <c r="G50" s="169">
        <v>299729</v>
      </c>
      <c r="H50" s="169">
        <v>327786</v>
      </c>
      <c r="I50" s="169">
        <v>338588</v>
      </c>
      <c r="J50" s="169">
        <v>348548</v>
      </c>
      <c r="K50" s="169">
        <v>360129</v>
      </c>
      <c r="L50" s="169">
        <v>372128</v>
      </c>
      <c r="M50" s="169">
        <v>382972</v>
      </c>
      <c r="N50" s="169">
        <v>391556</v>
      </c>
      <c r="O50" s="169">
        <v>396689</v>
      </c>
      <c r="P50" s="169">
        <v>399018</v>
      </c>
      <c r="Q50" s="15">
        <v>400708</v>
      </c>
      <c r="R50" s="15">
        <v>402288</v>
      </c>
      <c r="S50" s="15">
        <v>402091</v>
      </c>
      <c r="T50" s="15">
        <v>399743</v>
      </c>
      <c r="U50" s="15">
        <v>395909</v>
      </c>
      <c r="V50" s="15"/>
      <c r="W50" s="15"/>
      <c r="X50" s="15"/>
      <c r="Y50" s="15"/>
      <c r="Z50" s="15"/>
    </row>
    <row r="51" spans="1:26" x14ac:dyDescent="0.3">
      <c r="A51" t="s">
        <v>2</v>
      </c>
      <c r="B51">
        <v>49</v>
      </c>
      <c r="C51">
        <v>269388</v>
      </c>
      <c r="D51">
        <v>269388</v>
      </c>
      <c r="E51">
        <v>270901</v>
      </c>
      <c r="F51" s="169">
        <v>282798</v>
      </c>
      <c r="G51" s="169">
        <v>295476</v>
      </c>
      <c r="H51" s="169">
        <v>301895</v>
      </c>
      <c r="I51" s="169">
        <v>324247</v>
      </c>
      <c r="J51" s="169">
        <v>331409</v>
      </c>
      <c r="K51" s="169">
        <v>341191</v>
      </c>
      <c r="L51" s="169">
        <v>352563</v>
      </c>
      <c r="M51" s="169">
        <v>364346</v>
      </c>
      <c r="N51" s="169">
        <v>374999</v>
      </c>
      <c r="O51" s="169">
        <v>383440</v>
      </c>
      <c r="P51" s="169">
        <v>388503</v>
      </c>
      <c r="Q51" s="15">
        <v>390818</v>
      </c>
      <c r="R51" s="15">
        <v>392505</v>
      </c>
      <c r="S51" s="15">
        <v>394084</v>
      </c>
      <c r="T51" s="15">
        <v>393922</v>
      </c>
      <c r="U51" s="15">
        <v>391651</v>
      </c>
      <c r="V51" s="15"/>
      <c r="W51" s="15"/>
      <c r="X51" s="15"/>
      <c r="Y51" s="15"/>
      <c r="Z51" s="15"/>
    </row>
    <row r="52" spans="1:26" x14ac:dyDescent="0.3">
      <c r="A52" t="s">
        <v>2</v>
      </c>
      <c r="B52">
        <v>50</v>
      </c>
      <c r="C52">
        <v>264506</v>
      </c>
      <c r="D52">
        <v>264506</v>
      </c>
      <c r="E52">
        <v>266754</v>
      </c>
      <c r="F52" s="169">
        <v>268069</v>
      </c>
      <c r="G52" s="169">
        <v>283563</v>
      </c>
      <c r="H52" s="169">
        <v>297065</v>
      </c>
      <c r="I52" s="169">
        <v>298978</v>
      </c>
      <c r="J52" s="169">
        <v>303493</v>
      </c>
      <c r="K52" s="169">
        <v>310234</v>
      </c>
      <c r="L52" s="169">
        <v>319427</v>
      </c>
      <c r="M52" s="169">
        <v>330111</v>
      </c>
      <c r="N52" s="169">
        <v>341181</v>
      </c>
      <c r="O52" s="169">
        <v>351196</v>
      </c>
      <c r="P52" s="169">
        <v>359141</v>
      </c>
      <c r="Q52" s="15">
        <v>363921</v>
      </c>
      <c r="R52" s="15">
        <v>366124</v>
      </c>
      <c r="S52" s="15">
        <v>367741</v>
      </c>
      <c r="T52" s="15">
        <v>369254</v>
      </c>
      <c r="U52" s="15">
        <v>369136</v>
      </c>
      <c r="V52" s="15"/>
      <c r="W52" s="15"/>
      <c r="X52" s="15"/>
      <c r="Y52" s="15"/>
      <c r="Z52" s="15"/>
    </row>
    <row r="53" spans="1:26" x14ac:dyDescent="0.3">
      <c r="A53" t="s">
        <v>2</v>
      </c>
      <c r="B53">
        <v>51</v>
      </c>
      <c r="C53">
        <v>260152</v>
      </c>
      <c r="D53">
        <v>260152</v>
      </c>
      <c r="E53">
        <v>263802</v>
      </c>
      <c r="F53" s="169">
        <v>254955</v>
      </c>
      <c r="G53" s="169">
        <v>269131</v>
      </c>
      <c r="H53" s="169">
        <v>285618</v>
      </c>
      <c r="I53" s="169">
        <v>295197</v>
      </c>
      <c r="J53" s="169">
        <v>299281</v>
      </c>
      <c r="K53" s="169">
        <v>303842</v>
      </c>
      <c r="L53" s="169">
        <v>310631</v>
      </c>
      <c r="M53" s="169">
        <v>319878</v>
      </c>
      <c r="N53" s="169">
        <v>330618</v>
      </c>
      <c r="O53" s="169">
        <v>341749</v>
      </c>
      <c r="P53" s="169">
        <v>351824</v>
      </c>
      <c r="Q53" s="15">
        <v>359826</v>
      </c>
      <c r="R53" s="15">
        <v>364657</v>
      </c>
      <c r="S53" s="15">
        <v>366906</v>
      </c>
      <c r="T53" s="15">
        <v>368567</v>
      </c>
      <c r="U53" s="15">
        <v>370123</v>
      </c>
      <c r="V53" s="15"/>
      <c r="W53" s="15"/>
      <c r="X53" s="15"/>
      <c r="Y53" s="15"/>
      <c r="Z53" s="15"/>
    </row>
    <row r="54" spans="1:26" x14ac:dyDescent="0.3">
      <c r="A54" t="s">
        <v>2</v>
      </c>
      <c r="B54">
        <v>52</v>
      </c>
      <c r="C54">
        <v>262007</v>
      </c>
      <c r="D54">
        <v>262007</v>
      </c>
      <c r="E54">
        <v>266783</v>
      </c>
      <c r="F54" s="169">
        <v>254472</v>
      </c>
      <c r="G54" s="169">
        <v>255935</v>
      </c>
      <c r="H54" s="169">
        <v>271287</v>
      </c>
      <c r="I54" s="169">
        <v>284005</v>
      </c>
      <c r="J54" s="169">
        <v>288500</v>
      </c>
      <c r="K54" s="169">
        <v>292530</v>
      </c>
      <c r="L54" s="169">
        <v>297027</v>
      </c>
      <c r="M54" s="169">
        <v>303702</v>
      </c>
      <c r="N54" s="169">
        <v>312783</v>
      </c>
      <c r="O54" s="169">
        <v>323325</v>
      </c>
      <c r="P54" s="169">
        <v>334252</v>
      </c>
      <c r="Q54" s="15">
        <v>344146</v>
      </c>
      <c r="R54" s="15">
        <v>352014</v>
      </c>
      <c r="S54" s="15">
        <v>356780</v>
      </c>
      <c r="T54" s="15">
        <v>359020</v>
      </c>
      <c r="U54" s="15">
        <v>360684</v>
      </c>
      <c r="V54" s="15"/>
      <c r="W54" s="15"/>
      <c r="X54" s="15"/>
      <c r="Y54" s="15"/>
      <c r="Z54" s="15"/>
    </row>
    <row r="55" spans="1:26" x14ac:dyDescent="0.3">
      <c r="A55" t="s">
        <v>2</v>
      </c>
      <c r="B55">
        <v>53</v>
      </c>
      <c r="C55">
        <v>260058</v>
      </c>
      <c r="D55">
        <v>260058</v>
      </c>
      <c r="E55">
        <v>264531</v>
      </c>
      <c r="F55" s="169">
        <v>247601</v>
      </c>
      <c r="G55" s="169">
        <v>254949</v>
      </c>
      <c r="H55" s="169">
        <v>257348</v>
      </c>
      <c r="I55" s="169">
        <v>269737</v>
      </c>
      <c r="J55" s="169">
        <v>273580</v>
      </c>
      <c r="K55" s="169">
        <v>277946</v>
      </c>
      <c r="L55" s="169">
        <v>281864</v>
      </c>
      <c r="M55" s="169">
        <v>286234</v>
      </c>
      <c r="N55" s="169">
        <v>292704</v>
      </c>
      <c r="O55" s="169">
        <v>301492</v>
      </c>
      <c r="P55" s="169">
        <v>311691</v>
      </c>
      <c r="Q55" s="15">
        <v>322262</v>
      </c>
      <c r="R55" s="15">
        <v>331840</v>
      </c>
      <c r="S55" s="15">
        <v>339465</v>
      </c>
      <c r="T55" s="15">
        <v>344099</v>
      </c>
      <c r="U55" s="15">
        <v>346297</v>
      </c>
      <c r="V55" s="15"/>
      <c r="W55" s="15"/>
      <c r="X55" s="15"/>
      <c r="Y55" s="15"/>
      <c r="Z55" s="15"/>
    </row>
    <row r="56" spans="1:26" x14ac:dyDescent="0.3">
      <c r="A56" t="s">
        <v>2</v>
      </c>
      <c r="B56">
        <v>54</v>
      </c>
      <c r="C56">
        <v>250640</v>
      </c>
      <c r="D56">
        <v>250640</v>
      </c>
      <c r="E56">
        <v>254857</v>
      </c>
      <c r="F56" s="169">
        <v>243326</v>
      </c>
      <c r="G56" s="169">
        <v>245399</v>
      </c>
      <c r="H56" s="169">
        <v>254229</v>
      </c>
      <c r="I56" s="169">
        <v>253790</v>
      </c>
      <c r="J56" s="169">
        <v>256966</v>
      </c>
      <c r="K56" s="169">
        <v>260660</v>
      </c>
      <c r="L56" s="169">
        <v>264854</v>
      </c>
      <c r="M56" s="169">
        <v>268622</v>
      </c>
      <c r="N56" s="169">
        <v>272820</v>
      </c>
      <c r="O56" s="169">
        <v>279020</v>
      </c>
      <c r="P56" s="169">
        <v>287433</v>
      </c>
      <c r="Q56" s="15">
        <v>297190</v>
      </c>
      <c r="R56" s="15">
        <v>307305</v>
      </c>
      <c r="S56" s="15">
        <v>316475</v>
      </c>
      <c r="T56" s="15">
        <v>323782</v>
      </c>
      <c r="U56" s="15">
        <v>328238</v>
      </c>
      <c r="V56" s="15"/>
      <c r="W56" s="15"/>
      <c r="X56" s="15"/>
      <c r="Y56" s="15"/>
      <c r="Z56" s="15"/>
    </row>
    <row r="57" spans="1:26" x14ac:dyDescent="0.3">
      <c r="A57" t="s">
        <v>2</v>
      </c>
      <c r="B57">
        <v>55</v>
      </c>
      <c r="C57">
        <v>237132</v>
      </c>
      <c r="D57">
        <v>237132</v>
      </c>
      <c r="E57">
        <v>241836</v>
      </c>
      <c r="F57" s="169">
        <v>245821</v>
      </c>
      <c r="G57" s="169">
        <v>239676</v>
      </c>
      <c r="H57" s="169">
        <v>244484</v>
      </c>
      <c r="I57" s="169">
        <v>250545</v>
      </c>
      <c r="J57" s="169">
        <v>253051</v>
      </c>
      <c r="K57" s="169">
        <v>256257</v>
      </c>
      <c r="L57" s="169">
        <v>259981</v>
      </c>
      <c r="M57" s="169">
        <v>264204</v>
      </c>
      <c r="N57" s="169">
        <v>268001</v>
      </c>
      <c r="O57" s="169">
        <v>272230</v>
      </c>
      <c r="P57" s="169">
        <v>278456</v>
      </c>
      <c r="Q57" s="15">
        <v>286892</v>
      </c>
      <c r="R57" s="15">
        <v>296671</v>
      </c>
      <c r="S57" s="15">
        <v>306810</v>
      </c>
      <c r="T57" s="15">
        <v>316006</v>
      </c>
      <c r="U57" s="15">
        <v>323344</v>
      </c>
      <c r="V57" s="15"/>
      <c r="W57" s="15"/>
      <c r="X57" s="15"/>
      <c r="Y57" s="15"/>
      <c r="Z57" s="15"/>
    </row>
    <row r="58" spans="1:26" x14ac:dyDescent="0.3">
      <c r="A58" t="s">
        <v>2</v>
      </c>
      <c r="B58">
        <v>56</v>
      </c>
      <c r="C58">
        <v>223495</v>
      </c>
      <c r="D58">
        <v>223495</v>
      </c>
      <c r="E58">
        <v>228799</v>
      </c>
      <c r="F58" s="169">
        <v>236873</v>
      </c>
      <c r="G58" s="169">
        <v>243002</v>
      </c>
      <c r="H58" s="169">
        <v>238610</v>
      </c>
      <c r="I58" s="169">
        <v>241846</v>
      </c>
      <c r="J58" s="169">
        <v>243693</v>
      </c>
      <c r="K58" s="169">
        <v>246175</v>
      </c>
      <c r="L58" s="169">
        <v>249337</v>
      </c>
      <c r="M58" s="169">
        <v>253005</v>
      </c>
      <c r="N58" s="169">
        <v>257158</v>
      </c>
      <c r="O58" s="169">
        <v>260897</v>
      </c>
      <c r="P58" s="169">
        <v>265057</v>
      </c>
      <c r="Q58" s="15">
        <v>271163</v>
      </c>
      <c r="R58" s="15">
        <v>279423</v>
      </c>
      <c r="S58" s="15">
        <v>288994</v>
      </c>
      <c r="T58" s="15">
        <v>298916</v>
      </c>
      <c r="U58" s="15">
        <v>307923</v>
      </c>
      <c r="V58" s="15"/>
      <c r="W58" s="15"/>
      <c r="X58" s="15"/>
      <c r="Y58" s="15"/>
      <c r="Z58" s="15"/>
    </row>
    <row r="59" spans="1:26" x14ac:dyDescent="0.3">
      <c r="A59" t="s">
        <v>2</v>
      </c>
      <c r="B59">
        <v>57</v>
      </c>
      <c r="C59">
        <v>214892</v>
      </c>
      <c r="D59">
        <v>214892</v>
      </c>
      <c r="E59">
        <v>220718</v>
      </c>
      <c r="F59" s="169">
        <v>226160</v>
      </c>
      <c r="G59" s="169">
        <v>233785</v>
      </c>
      <c r="H59" s="169">
        <v>241710</v>
      </c>
      <c r="I59" s="169">
        <v>236570</v>
      </c>
      <c r="J59" s="169">
        <v>238707</v>
      </c>
      <c r="K59" s="169">
        <v>240573</v>
      </c>
      <c r="L59" s="169">
        <v>243066</v>
      </c>
      <c r="M59" s="169">
        <v>246231</v>
      </c>
      <c r="N59" s="169">
        <v>249894</v>
      </c>
      <c r="O59" s="169">
        <v>254038</v>
      </c>
      <c r="P59" s="169">
        <v>257775</v>
      </c>
      <c r="Q59" s="15">
        <v>261927</v>
      </c>
      <c r="R59" s="15">
        <v>268004</v>
      </c>
      <c r="S59" s="15">
        <v>276211</v>
      </c>
      <c r="T59" s="15">
        <v>285716</v>
      </c>
      <c r="U59" s="15">
        <v>295570</v>
      </c>
      <c r="V59" s="15"/>
      <c r="W59" s="15"/>
      <c r="X59" s="15"/>
      <c r="Y59" s="15"/>
      <c r="Z59" s="15"/>
    </row>
    <row r="60" spans="1:26" x14ac:dyDescent="0.3">
      <c r="A60" t="s">
        <v>2</v>
      </c>
      <c r="B60">
        <v>58</v>
      </c>
      <c r="C60">
        <v>206627</v>
      </c>
      <c r="D60">
        <v>206627</v>
      </c>
      <c r="E60">
        <v>212321</v>
      </c>
      <c r="F60" s="169">
        <v>214586</v>
      </c>
      <c r="G60" s="169">
        <v>222494</v>
      </c>
      <c r="H60" s="169">
        <v>232472</v>
      </c>
      <c r="I60" s="169">
        <v>239200</v>
      </c>
      <c r="J60" s="169">
        <v>242362</v>
      </c>
      <c r="K60" s="169">
        <v>244595</v>
      </c>
      <c r="L60" s="169">
        <v>246550</v>
      </c>
      <c r="M60" s="169">
        <v>249147</v>
      </c>
      <c r="N60" s="169">
        <v>252435</v>
      </c>
      <c r="O60" s="169">
        <v>256233</v>
      </c>
      <c r="P60" s="169">
        <v>260524</v>
      </c>
      <c r="Q60" s="15">
        <v>264399</v>
      </c>
      <c r="R60" s="15">
        <v>268701</v>
      </c>
      <c r="S60" s="15">
        <v>274979</v>
      </c>
      <c r="T60" s="15">
        <v>283443</v>
      </c>
      <c r="U60" s="15">
        <v>293242</v>
      </c>
      <c r="V60" s="15"/>
      <c r="W60" s="15"/>
      <c r="X60" s="15"/>
      <c r="Y60" s="15"/>
      <c r="Z60" s="15"/>
    </row>
    <row r="61" spans="1:26" x14ac:dyDescent="0.3">
      <c r="A61" t="s">
        <v>2</v>
      </c>
      <c r="B61">
        <v>59</v>
      </c>
      <c r="C61">
        <v>193535</v>
      </c>
      <c r="D61">
        <v>193535</v>
      </c>
      <c r="E61">
        <v>198980</v>
      </c>
      <c r="F61" s="169">
        <v>197045</v>
      </c>
      <c r="G61" s="169">
        <v>206964</v>
      </c>
      <c r="H61" s="169">
        <v>217434</v>
      </c>
      <c r="I61" s="169">
        <v>226582</v>
      </c>
      <c r="J61" s="169">
        <v>230952</v>
      </c>
      <c r="K61" s="169">
        <v>234047</v>
      </c>
      <c r="L61" s="169">
        <v>236244</v>
      </c>
      <c r="M61" s="169">
        <v>238174</v>
      </c>
      <c r="N61" s="169">
        <v>240724</v>
      </c>
      <c r="O61" s="169">
        <v>243939</v>
      </c>
      <c r="P61" s="169">
        <v>247650</v>
      </c>
      <c r="Q61" s="15">
        <v>251838</v>
      </c>
      <c r="R61" s="15">
        <v>255625</v>
      </c>
      <c r="S61" s="15">
        <v>259825</v>
      </c>
      <c r="T61" s="15">
        <v>265937</v>
      </c>
      <c r="U61" s="15">
        <v>274164</v>
      </c>
      <c r="V61" s="15"/>
      <c r="W61" s="15"/>
      <c r="X61" s="15"/>
      <c r="Y61" s="15"/>
      <c r="Z61" s="15"/>
    </row>
    <row r="62" spans="1:26" x14ac:dyDescent="0.3">
      <c r="A62" t="s">
        <v>2</v>
      </c>
      <c r="B62">
        <v>60</v>
      </c>
      <c r="C62">
        <v>185363</v>
      </c>
      <c r="D62">
        <v>185363</v>
      </c>
      <c r="E62">
        <v>191004</v>
      </c>
      <c r="F62" s="169">
        <v>189693</v>
      </c>
      <c r="G62" s="169">
        <v>189521</v>
      </c>
      <c r="H62" s="169">
        <v>202313</v>
      </c>
      <c r="I62" s="169">
        <v>211674</v>
      </c>
      <c r="J62" s="169">
        <v>216414</v>
      </c>
      <c r="K62" s="169">
        <v>220634</v>
      </c>
      <c r="L62" s="169">
        <v>223638</v>
      </c>
      <c r="M62" s="169">
        <v>225783</v>
      </c>
      <c r="N62" s="169">
        <v>227673</v>
      </c>
      <c r="O62" s="169">
        <v>230156</v>
      </c>
      <c r="P62" s="169">
        <v>233275</v>
      </c>
      <c r="Q62" s="15">
        <v>236869</v>
      </c>
      <c r="R62" s="15">
        <v>240922</v>
      </c>
      <c r="S62" s="15">
        <v>244591</v>
      </c>
      <c r="T62" s="15">
        <v>248655</v>
      </c>
      <c r="U62" s="15">
        <v>254552</v>
      </c>
      <c r="V62" s="15"/>
      <c r="W62" s="15"/>
      <c r="X62" s="15"/>
      <c r="Y62" s="15"/>
      <c r="Z62" s="15"/>
    </row>
    <row r="63" spans="1:26" x14ac:dyDescent="0.3">
      <c r="A63" t="s">
        <v>2</v>
      </c>
      <c r="B63">
        <v>61</v>
      </c>
      <c r="C63">
        <v>173641</v>
      </c>
      <c r="D63">
        <v>173641</v>
      </c>
      <c r="E63">
        <v>179313</v>
      </c>
      <c r="F63" s="169">
        <v>178260</v>
      </c>
      <c r="G63" s="169">
        <v>183891</v>
      </c>
      <c r="H63" s="169">
        <v>186475</v>
      </c>
      <c r="I63" s="169">
        <v>198568</v>
      </c>
      <c r="J63" s="169">
        <v>202770</v>
      </c>
      <c r="K63" s="169">
        <v>207362</v>
      </c>
      <c r="L63" s="169">
        <v>211458</v>
      </c>
      <c r="M63" s="169">
        <v>214388</v>
      </c>
      <c r="N63" s="169">
        <v>216496</v>
      </c>
      <c r="O63" s="169">
        <v>218359</v>
      </c>
      <c r="P63" s="169">
        <v>220790</v>
      </c>
      <c r="Q63" s="15">
        <v>223833</v>
      </c>
      <c r="R63" s="15">
        <v>227333</v>
      </c>
      <c r="S63" s="15">
        <v>231273</v>
      </c>
      <c r="T63" s="15">
        <v>234845</v>
      </c>
      <c r="U63" s="15">
        <v>238800</v>
      </c>
      <c r="V63" s="15"/>
      <c r="W63" s="15"/>
      <c r="X63" s="15"/>
      <c r="Y63" s="15"/>
      <c r="Z63" s="15"/>
    </row>
    <row r="64" spans="1:26" x14ac:dyDescent="0.3">
      <c r="A64" t="s">
        <v>2</v>
      </c>
      <c r="B64">
        <v>62</v>
      </c>
      <c r="C64">
        <v>165470</v>
      </c>
      <c r="D64">
        <v>165470</v>
      </c>
      <c r="E64">
        <v>171230</v>
      </c>
      <c r="F64" s="169">
        <v>168798</v>
      </c>
      <c r="G64" s="169">
        <v>173351</v>
      </c>
      <c r="H64" s="169">
        <v>181359</v>
      </c>
      <c r="I64" s="169">
        <v>183840</v>
      </c>
      <c r="J64" s="169">
        <v>188525</v>
      </c>
      <c r="K64" s="169">
        <v>192564</v>
      </c>
      <c r="L64" s="169">
        <v>196974</v>
      </c>
      <c r="M64" s="169">
        <v>200912</v>
      </c>
      <c r="N64" s="169">
        <v>203744</v>
      </c>
      <c r="O64" s="169">
        <v>205796</v>
      </c>
      <c r="P64" s="169">
        <v>207613</v>
      </c>
      <c r="Q64" s="15">
        <v>209973</v>
      </c>
      <c r="R64" s="15">
        <v>212914</v>
      </c>
      <c r="S64" s="15">
        <v>216292</v>
      </c>
      <c r="T64" s="15">
        <v>220088</v>
      </c>
      <c r="U64" s="15">
        <v>223536</v>
      </c>
      <c r="V64" s="15"/>
      <c r="W64" s="15"/>
      <c r="X64" s="15"/>
      <c r="Y64" s="15"/>
      <c r="Z64" s="15"/>
    </row>
    <row r="65" spans="1:26" x14ac:dyDescent="0.3">
      <c r="A65" t="s">
        <v>2</v>
      </c>
      <c r="B65">
        <v>63</v>
      </c>
      <c r="C65">
        <v>158041</v>
      </c>
      <c r="D65">
        <v>158041</v>
      </c>
      <c r="E65">
        <v>163628</v>
      </c>
      <c r="F65" s="169">
        <v>163923</v>
      </c>
      <c r="G65" s="169">
        <v>164092</v>
      </c>
      <c r="H65" s="169">
        <v>171059</v>
      </c>
      <c r="I65" s="169">
        <v>179088</v>
      </c>
      <c r="J65" s="169">
        <v>184281</v>
      </c>
      <c r="K65" s="169">
        <v>189025</v>
      </c>
      <c r="L65" s="169">
        <v>193122</v>
      </c>
      <c r="M65" s="169">
        <v>197592</v>
      </c>
      <c r="N65" s="169">
        <v>201590</v>
      </c>
      <c r="O65" s="169">
        <v>204480</v>
      </c>
      <c r="P65" s="169">
        <v>206585</v>
      </c>
      <c r="Q65" s="15">
        <v>208457</v>
      </c>
      <c r="R65" s="15">
        <v>210874</v>
      </c>
      <c r="S65" s="15">
        <v>213875</v>
      </c>
      <c r="T65" s="15">
        <v>217315</v>
      </c>
      <c r="U65" s="15">
        <v>221177</v>
      </c>
      <c r="V65" s="15"/>
      <c r="W65" s="15"/>
      <c r="X65" s="15"/>
      <c r="Y65" s="15"/>
      <c r="Z65" s="15"/>
    </row>
    <row r="66" spans="1:26" x14ac:dyDescent="0.3">
      <c r="A66" t="s">
        <v>2</v>
      </c>
      <c r="B66">
        <v>64</v>
      </c>
      <c r="C66">
        <v>150771</v>
      </c>
      <c r="D66">
        <v>150771</v>
      </c>
      <c r="E66">
        <v>156212</v>
      </c>
      <c r="F66" s="169">
        <v>156085</v>
      </c>
      <c r="G66" s="169">
        <v>159667</v>
      </c>
      <c r="H66" s="169">
        <v>161637</v>
      </c>
      <c r="I66" s="169">
        <v>169188</v>
      </c>
      <c r="J66" s="169">
        <v>174572</v>
      </c>
      <c r="K66" s="169">
        <v>179679</v>
      </c>
      <c r="L66" s="169">
        <v>184351</v>
      </c>
      <c r="M66" s="169">
        <v>188392</v>
      </c>
      <c r="N66" s="169">
        <v>192798</v>
      </c>
      <c r="O66" s="169">
        <v>196745</v>
      </c>
      <c r="P66" s="169">
        <v>199610</v>
      </c>
      <c r="Q66" s="15">
        <v>201712</v>
      </c>
      <c r="R66" s="15">
        <v>203585</v>
      </c>
      <c r="S66" s="15">
        <v>205992</v>
      </c>
      <c r="T66" s="15">
        <v>208968</v>
      </c>
      <c r="U66" s="15">
        <v>212375</v>
      </c>
      <c r="V66" s="15"/>
      <c r="W66" s="15"/>
      <c r="X66" s="15"/>
      <c r="Y66" s="15"/>
      <c r="Z66" s="15"/>
    </row>
    <row r="67" spans="1:26" x14ac:dyDescent="0.3">
      <c r="A67" t="s">
        <v>2</v>
      </c>
      <c r="B67">
        <v>65</v>
      </c>
      <c r="C67">
        <v>141487</v>
      </c>
      <c r="D67">
        <v>141487</v>
      </c>
      <c r="E67">
        <v>146712</v>
      </c>
      <c r="F67" s="169">
        <v>147984</v>
      </c>
      <c r="G67" s="169">
        <v>151674</v>
      </c>
      <c r="H67" s="169">
        <v>157088</v>
      </c>
      <c r="I67" s="169">
        <v>159951</v>
      </c>
      <c r="J67" s="169">
        <v>165004</v>
      </c>
      <c r="K67" s="169">
        <v>170306</v>
      </c>
      <c r="L67" s="169">
        <v>175340</v>
      </c>
      <c r="M67" s="169">
        <v>179950</v>
      </c>
      <c r="N67" s="169">
        <v>183948</v>
      </c>
      <c r="O67" s="169">
        <v>188302</v>
      </c>
      <c r="P67" s="169">
        <v>192210</v>
      </c>
      <c r="Q67" s="15">
        <v>195062</v>
      </c>
      <c r="R67" s="15">
        <v>197168</v>
      </c>
      <c r="S67" s="15">
        <v>199052</v>
      </c>
      <c r="T67" s="15">
        <v>201458</v>
      </c>
      <c r="U67" s="15">
        <v>204421</v>
      </c>
      <c r="V67" s="15"/>
      <c r="W67" s="15"/>
      <c r="X67" s="15"/>
      <c r="Y67" s="15"/>
      <c r="Z67" s="15"/>
    </row>
    <row r="68" spans="1:26" x14ac:dyDescent="0.3">
      <c r="A68" t="s">
        <v>2</v>
      </c>
      <c r="B68">
        <v>66</v>
      </c>
      <c r="C68">
        <v>133202</v>
      </c>
      <c r="D68">
        <v>133202</v>
      </c>
      <c r="E68">
        <v>138111</v>
      </c>
      <c r="F68" s="169">
        <v>142706</v>
      </c>
      <c r="G68" s="169">
        <v>143782</v>
      </c>
      <c r="H68" s="169">
        <v>148762</v>
      </c>
      <c r="I68" s="169">
        <v>154899</v>
      </c>
      <c r="J68" s="169">
        <v>159697</v>
      </c>
      <c r="K68" s="169">
        <v>164800</v>
      </c>
      <c r="L68" s="169">
        <v>170155</v>
      </c>
      <c r="M68" s="169">
        <v>175244</v>
      </c>
      <c r="N68" s="169">
        <v>179911</v>
      </c>
      <c r="O68" s="169">
        <v>183968</v>
      </c>
      <c r="P68" s="169">
        <v>188384</v>
      </c>
      <c r="Q68" s="15">
        <v>192354</v>
      </c>
      <c r="R68" s="15">
        <v>195271</v>
      </c>
      <c r="S68" s="15">
        <v>197439</v>
      </c>
      <c r="T68" s="15">
        <v>199385</v>
      </c>
      <c r="U68" s="15">
        <v>201856</v>
      </c>
      <c r="V68" s="15"/>
      <c r="W68" s="15"/>
      <c r="X68" s="15"/>
      <c r="Y68" s="15"/>
      <c r="Z68" s="15"/>
    </row>
    <row r="69" spans="1:26" x14ac:dyDescent="0.3">
      <c r="A69" t="s">
        <v>2</v>
      </c>
      <c r="B69">
        <v>67</v>
      </c>
      <c r="C69">
        <v>123239</v>
      </c>
      <c r="D69">
        <v>123239</v>
      </c>
      <c r="E69">
        <v>127845</v>
      </c>
      <c r="F69" s="169">
        <v>132950</v>
      </c>
      <c r="G69" s="169">
        <v>138593</v>
      </c>
      <c r="H69" s="169">
        <v>141241</v>
      </c>
      <c r="I69" s="169">
        <v>147234</v>
      </c>
      <c r="J69" s="169">
        <v>152297</v>
      </c>
      <c r="K69" s="169">
        <v>157069</v>
      </c>
      <c r="L69" s="169">
        <v>162144</v>
      </c>
      <c r="M69" s="169">
        <v>167470</v>
      </c>
      <c r="N69" s="169">
        <v>172535</v>
      </c>
      <c r="O69" s="169">
        <v>177190</v>
      </c>
      <c r="P69" s="169">
        <v>181243</v>
      </c>
      <c r="Q69" s="15">
        <v>185653</v>
      </c>
      <c r="R69" s="15">
        <v>189625</v>
      </c>
      <c r="S69" s="15">
        <v>192560</v>
      </c>
      <c r="T69" s="15">
        <v>194758</v>
      </c>
      <c r="U69" s="15">
        <v>196735</v>
      </c>
      <c r="V69" s="15"/>
      <c r="W69" s="15"/>
      <c r="X69" s="15"/>
      <c r="Y69" s="15"/>
      <c r="Z69" s="15"/>
    </row>
    <row r="70" spans="1:26" x14ac:dyDescent="0.3">
      <c r="A70" t="s">
        <v>2</v>
      </c>
      <c r="B70">
        <v>68</v>
      </c>
      <c r="C70">
        <v>117527</v>
      </c>
      <c r="D70">
        <v>117527</v>
      </c>
      <c r="E70">
        <v>121864</v>
      </c>
      <c r="F70" s="169">
        <v>128871</v>
      </c>
      <c r="G70" s="169">
        <v>129264</v>
      </c>
      <c r="H70" s="169">
        <v>136149</v>
      </c>
      <c r="I70" s="169">
        <v>140258</v>
      </c>
      <c r="J70" s="169">
        <v>145589</v>
      </c>
      <c r="K70" s="169">
        <v>150647</v>
      </c>
      <c r="L70" s="169">
        <v>155421</v>
      </c>
      <c r="M70" s="169">
        <v>160497</v>
      </c>
      <c r="N70" s="169">
        <v>165824</v>
      </c>
      <c r="O70" s="169">
        <v>170895</v>
      </c>
      <c r="P70" s="169">
        <v>175561</v>
      </c>
      <c r="Q70" s="15">
        <v>179635</v>
      </c>
      <c r="R70" s="15">
        <v>184064</v>
      </c>
      <c r="S70" s="15">
        <v>188061</v>
      </c>
      <c r="T70" s="15">
        <v>191030</v>
      </c>
      <c r="U70" s="15">
        <v>193267</v>
      </c>
      <c r="V70" s="15"/>
      <c r="W70" s="15"/>
      <c r="X70" s="15"/>
      <c r="Y70" s="15"/>
      <c r="Z70" s="15"/>
    </row>
    <row r="71" spans="1:26" x14ac:dyDescent="0.3">
      <c r="A71" t="s">
        <v>2</v>
      </c>
      <c r="B71">
        <v>69</v>
      </c>
      <c r="C71">
        <v>108047</v>
      </c>
      <c r="D71">
        <v>108047</v>
      </c>
      <c r="E71">
        <v>111874</v>
      </c>
      <c r="F71" s="169">
        <v>117647</v>
      </c>
      <c r="G71" s="169">
        <v>125503</v>
      </c>
      <c r="H71" s="169">
        <v>126916</v>
      </c>
      <c r="I71" s="169">
        <v>134932</v>
      </c>
      <c r="J71" s="169">
        <v>140509</v>
      </c>
      <c r="K71" s="169">
        <v>145899</v>
      </c>
      <c r="L71" s="169">
        <v>151020</v>
      </c>
      <c r="M71" s="169">
        <v>155858</v>
      </c>
      <c r="N71" s="169">
        <v>161001</v>
      </c>
      <c r="O71" s="169">
        <v>166399</v>
      </c>
      <c r="P71" s="169">
        <v>171544</v>
      </c>
      <c r="Q71" s="15">
        <v>176283</v>
      </c>
      <c r="R71" s="15">
        <v>180431</v>
      </c>
      <c r="S71" s="15">
        <v>184938</v>
      </c>
      <c r="T71" s="15">
        <v>189011</v>
      </c>
      <c r="U71" s="15">
        <v>192051</v>
      </c>
      <c r="V71" s="15"/>
      <c r="W71" s="15"/>
      <c r="X71" s="15"/>
      <c r="Y71" s="15"/>
      <c r="Z71" s="15"/>
    </row>
    <row r="72" spans="1:26" x14ac:dyDescent="0.3">
      <c r="A72" t="s">
        <v>2</v>
      </c>
      <c r="B72">
        <v>70</v>
      </c>
      <c r="C72">
        <v>102165</v>
      </c>
      <c r="D72">
        <v>102165</v>
      </c>
      <c r="E72">
        <v>106217</v>
      </c>
      <c r="F72" s="169">
        <v>112701</v>
      </c>
      <c r="G72" s="169">
        <v>114241</v>
      </c>
      <c r="H72" s="169">
        <v>123131</v>
      </c>
      <c r="I72" s="169">
        <v>126114</v>
      </c>
      <c r="J72" s="169">
        <v>131028</v>
      </c>
      <c r="K72" s="169">
        <v>136494</v>
      </c>
      <c r="L72" s="169">
        <v>141783</v>
      </c>
      <c r="M72" s="169">
        <v>146811</v>
      </c>
      <c r="N72" s="169">
        <v>151570</v>
      </c>
      <c r="O72" s="169">
        <v>156626</v>
      </c>
      <c r="P72" s="169">
        <v>161934</v>
      </c>
      <c r="Q72" s="15">
        <v>166999</v>
      </c>
      <c r="R72" s="15">
        <v>171672</v>
      </c>
      <c r="S72" s="15">
        <v>175772</v>
      </c>
      <c r="T72" s="15">
        <v>180222</v>
      </c>
      <c r="U72" s="15">
        <v>184251</v>
      </c>
      <c r="V72" s="15"/>
      <c r="W72" s="15"/>
      <c r="X72" s="15"/>
      <c r="Y72" s="15"/>
      <c r="Z72" s="15"/>
    </row>
    <row r="73" spans="1:26" x14ac:dyDescent="0.3">
      <c r="A73" t="s">
        <v>2</v>
      </c>
      <c r="B73">
        <v>71</v>
      </c>
      <c r="C73">
        <v>94076</v>
      </c>
      <c r="D73">
        <v>94076</v>
      </c>
      <c r="E73">
        <v>98401</v>
      </c>
      <c r="F73" s="169">
        <v>104052</v>
      </c>
      <c r="G73" s="169">
        <v>109311</v>
      </c>
      <c r="H73" s="169">
        <v>111935</v>
      </c>
      <c r="I73" s="169">
        <v>122060</v>
      </c>
      <c r="J73" s="169">
        <v>126469</v>
      </c>
      <c r="K73" s="169">
        <v>131450</v>
      </c>
      <c r="L73" s="169">
        <v>136987</v>
      </c>
      <c r="M73" s="169">
        <v>142351</v>
      </c>
      <c r="N73" s="169">
        <v>147456</v>
      </c>
      <c r="O73" s="169">
        <v>152294</v>
      </c>
      <c r="P73" s="169">
        <v>157435</v>
      </c>
      <c r="Q73" s="15">
        <v>162833</v>
      </c>
      <c r="R73" s="15">
        <v>167988</v>
      </c>
      <c r="S73" s="15">
        <v>172754</v>
      </c>
      <c r="T73" s="15">
        <v>176943</v>
      </c>
      <c r="U73" s="15">
        <v>181487</v>
      </c>
      <c r="V73" s="15"/>
      <c r="W73" s="15"/>
      <c r="X73" s="15"/>
      <c r="Y73" s="15"/>
      <c r="Z73" s="15"/>
    </row>
    <row r="74" spans="1:26" x14ac:dyDescent="0.3">
      <c r="A74" t="s">
        <v>2</v>
      </c>
      <c r="B74">
        <v>72</v>
      </c>
      <c r="C74">
        <v>84605</v>
      </c>
      <c r="D74">
        <v>84605</v>
      </c>
      <c r="E74">
        <v>88924</v>
      </c>
      <c r="F74" s="169">
        <v>97876</v>
      </c>
      <c r="G74" s="169">
        <v>100719</v>
      </c>
      <c r="H74" s="169">
        <v>106868</v>
      </c>
      <c r="I74" s="169">
        <v>111080</v>
      </c>
      <c r="J74" s="169">
        <v>115366</v>
      </c>
      <c r="K74" s="169">
        <v>119582</v>
      </c>
      <c r="L74" s="169">
        <v>124341</v>
      </c>
      <c r="M74" s="169">
        <v>129629</v>
      </c>
      <c r="N74" s="169">
        <v>134757</v>
      </c>
      <c r="O74" s="169">
        <v>139643</v>
      </c>
      <c r="P74" s="169">
        <v>144279</v>
      </c>
      <c r="Q74" s="15">
        <v>149205</v>
      </c>
      <c r="R74" s="15">
        <v>154379</v>
      </c>
      <c r="S74" s="15">
        <v>159327</v>
      </c>
      <c r="T74" s="15">
        <v>163905</v>
      </c>
      <c r="U74" s="15">
        <v>167940</v>
      </c>
      <c r="V74" s="15"/>
      <c r="W74" s="15"/>
      <c r="X74" s="15"/>
      <c r="Y74" s="15"/>
      <c r="Z74" s="15"/>
    </row>
    <row r="75" spans="1:26" x14ac:dyDescent="0.3">
      <c r="A75" t="s">
        <v>2</v>
      </c>
      <c r="B75">
        <v>73</v>
      </c>
      <c r="C75">
        <v>78279</v>
      </c>
      <c r="D75">
        <v>78279</v>
      </c>
      <c r="E75">
        <v>82149</v>
      </c>
      <c r="F75" s="169">
        <v>90292</v>
      </c>
      <c r="G75" s="169">
        <v>94449</v>
      </c>
      <c r="H75" s="169">
        <v>98424</v>
      </c>
      <c r="I75" s="169">
        <v>105864</v>
      </c>
      <c r="J75" s="169">
        <v>110253</v>
      </c>
      <c r="K75" s="169">
        <v>114553</v>
      </c>
      <c r="L75" s="169">
        <v>118786</v>
      </c>
      <c r="M75" s="169">
        <v>123563</v>
      </c>
      <c r="N75" s="169">
        <v>128866</v>
      </c>
      <c r="O75" s="169">
        <v>134014</v>
      </c>
      <c r="P75" s="169">
        <v>138925</v>
      </c>
      <c r="Q75" s="15">
        <v>143591</v>
      </c>
      <c r="R75" s="15">
        <v>148549</v>
      </c>
      <c r="S75" s="15">
        <v>153759</v>
      </c>
      <c r="T75" s="15">
        <v>158743</v>
      </c>
      <c r="U75" s="15">
        <v>163363</v>
      </c>
      <c r="V75" s="15"/>
      <c r="W75" s="15"/>
      <c r="X75" s="15"/>
      <c r="Y75" s="15"/>
      <c r="Z75" s="15"/>
    </row>
    <row r="76" spans="1:26" x14ac:dyDescent="0.3">
      <c r="A76" t="s">
        <v>2</v>
      </c>
      <c r="B76">
        <v>74</v>
      </c>
      <c r="C76">
        <v>75106</v>
      </c>
      <c r="D76">
        <v>75106</v>
      </c>
      <c r="E76">
        <v>78835</v>
      </c>
      <c r="F76" s="169">
        <v>82366</v>
      </c>
      <c r="G76" s="169">
        <v>87295</v>
      </c>
      <c r="H76" s="169">
        <v>92121</v>
      </c>
      <c r="I76" s="169">
        <v>97192</v>
      </c>
      <c r="J76" s="169">
        <v>101634</v>
      </c>
      <c r="K76" s="169">
        <v>105890</v>
      </c>
      <c r="L76" s="169">
        <v>110063</v>
      </c>
      <c r="M76" s="169">
        <v>114175</v>
      </c>
      <c r="N76" s="169">
        <v>118811</v>
      </c>
      <c r="O76" s="169">
        <v>123958</v>
      </c>
      <c r="P76" s="169">
        <v>128958</v>
      </c>
      <c r="Q76" s="15">
        <v>133733</v>
      </c>
      <c r="R76" s="15">
        <v>138276</v>
      </c>
      <c r="S76" s="15">
        <v>143103</v>
      </c>
      <c r="T76" s="15">
        <v>148175</v>
      </c>
      <c r="U76" s="15">
        <v>153034</v>
      </c>
      <c r="V76" s="15"/>
      <c r="W76" s="15"/>
      <c r="X76" s="15"/>
      <c r="Y76" s="15"/>
      <c r="Z76" s="15"/>
    </row>
    <row r="77" spans="1:26" x14ac:dyDescent="0.3">
      <c r="A77" t="s">
        <v>2</v>
      </c>
      <c r="B77">
        <v>75</v>
      </c>
      <c r="C77">
        <v>69326</v>
      </c>
      <c r="D77">
        <v>69326</v>
      </c>
      <c r="E77">
        <v>72486</v>
      </c>
      <c r="F77" s="169">
        <v>74594</v>
      </c>
      <c r="G77" s="169">
        <v>79048</v>
      </c>
      <c r="H77" s="169">
        <v>84620</v>
      </c>
      <c r="I77" s="169">
        <v>90983</v>
      </c>
      <c r="J77" s="169">
        <v>94869</v>
      </c>
      <c r="K77" s="169">
        <v>99251</v>
      </c>
      <c r="L77" s="169">
        <v>103454</v>
      </c>
      <c r="M77" s="169">
        <v>107579</v>
      </c>
      <c r="N77" s="169">
        <v>111648</v>
      </c>
      <c r="O77" s="169">
        <v>116233</v>
      </c>
      <c r="P77" s="169">
        <v>121320</v>
      </c>
      <c r="Q77" s="15">
        <v>126268</v>
      </c>
      <c r="R77" s="15">
        <v>130999</v>
      </c>
      <c r="S77" s="15">
        <v>135506</v>
      </c>
      <c r="T77" s="15">
        <v>140296</v>
      </c>
      <c r="U77" s="15">
        <v>145329</v>
      </c>
      <c r="V77" s="15"/>
      <c r="W77" s="15"/>
      <c r="X77" s="15"/>
      <c r="Y77" s="15"/>
      <c r="Z77" s="15"/>
    </row>
    <row r="78" spans="1:26" x14ac:dyDescent="0.3">
      <c r="A78" t="s">
        <v>2</v>
      </c>
      <c r="B78">
        <v>76</v>
      </c>
      <c r="C78">
        <v>63673</v>
      </c>
      <c r="D78">
        <v>63673</v>
      </c>
      <c r="E78">
        <v>65942</v>
      </c>
      <c r="F78" s="169">
        <v>69715</v>
      </c>
      <c r="G78" s="169">
        <v>71530</v>
      </c>
      <c r="H78" s="169">
        <v>76615</v>
      </c>
      <c r="I78" s="169">
        <v>83214</v>
      </c>
      <c r="J78" s="169">
        <v>86619</v>
      </c>
      <c r="K78" s="169">
        <v>90367</v>
      </c>
      <c r="L78" s="169">
        <v>94591</v>
      </c>
      <c r="M78" s="169">
        <v>98647</v>
      </c>
      <c r="N78" s="169">
        <v>102634</v>
      </c>
      <c r="O78" s="169">
        <v>106570</v>
      </c>
      <c r="P78" s="169">
        <v>111001</v>
      </c>
      <c r="Q78" s="15">
        <v>115917</v>
      </c>
      <c r="R78" s="15">
        <v>120705</v>
      </c>
      <c r="S78" s="15">
        <v>125288</v>
      </c>
      <c r="T78" s="15">
        <v>129661</v>
      </c>
      <c r="U78" s="15">
        <v>134308</v>
      </c>
      <c r="V78" s="15"/>
      <c r="W78" s="15"/>
      <c r="X78" s="15"/>
      <c r="Y78" s="15"/>
      <c r="Z78" s="15"/>
    </row>
    <row r="79" spans="1:26" x14ac:dyDescent="0.3">
      <c r="A79" t="s">
        <v>2</v>
      </c>
      <c r="B79">
        <v>77</v>
      </c>
      <c r="C79">
        <v>59329</v>
      </c>
      <c r="D79">
        <v>59329</v>
      </c>
      <c r="E79">
        <v>61042</v>
      </c>
      <c r="F79" s="169">
        <v>65520</v>
      </c>
      <c r="G79" s="169">
        <v>66636</v>
      </c>
      <c r="H79" s="169">
        <v>69048</v>
      </c>
      <c r="I79" s="169">
        <v>75359</v>
      </c>
      <c r="J79" s="169">
        <v>79024</v>
      </c>
      <c r="K79" s="169">
        <v>82303</v>
      </c>
      <c r="L79" s="169">
        <v>85909</v>
      </c>
      <c r="M79" s="169">
        <v>89970</v>
      </c>
      <c r="N79" s="169">
        <v>93878</v>
      </c>
      <c r="O79" s="169">
        <v>97720</v>
      </c>
      <c r="P79" s="169">
        <v>101518</v>
      </c>
      <c r="Q79" s="15">
        <v>105792</v>
      </c>
      <c r="R79" s="15">
        <v>110531</v>
      </c>
      <c r="S79" s="15">
        <v>115152</v>
      </c>
      <c r="T79" s="15">
        <v>119582</v>
      </c>
      <c r="U79" s="15">
        <v>123814</v>
      </c>
      <c r="V79" s="15"/>
      <c r="W79" s="15"/>
      <c r="X79" s="15"/>
      <c r="Y79" s="15"/>
      <c r="Z79" s="15"/>
    </row>
    <row r="80" spans="1:26" x14ac:dyDescent="0.3">
      <c r="A80" t="s">
        <v>2</v>
      </c>
      <c r="B80">
        <v>78</v>
      </c>
      <c r="C80">
        <v>58046</v>
      </c>
      <c r="D80">
        <v>58046</v>
      </c>
      <c r="E80">
        <v>59460</v>
      </c>
      <c r="F80" s="169">
        <v>60698</v>
      </c>
      <c r="G80" s="169">
        <v>62250</v>
      </c>
      <c r="H80" s="169">
        <v>64210</v>
      </c>
      <c r="I80" s="169">
        <v>67661</v>
      </c>
      <c r="J80" s="169">
        <v>71684</v>
      </c>
      <c r="K80" s="169">
        <v>75212</v>
      </c>
      <c r="L80" s="169">
        <v>78373</v>
      </c>
      <c r="M80" s="169">
        <v>81849</v>
      </c>
      <c r="N80" s="169">
        <v>85763</v>
      </c>
      <c r="O80" s="169">
        <v>89532</v>
      </c>
      <c r="P80" s="169">
        <v>93243</v>
      </c>
      <c r="Q80" s="15">
        <v>96915</v>
      </c>
      <c r="R80" s="15">
        <v>101044</v>
      </c>
      <c r="S80" s="15">
        <v>105623</v>
      </c>
      <c r="T80" s="15">
        <v>110090</v>
      </c>
      <c r="U80" s="15">
        <v>114380</v>
      </c>
      <c r="V80" s="15"/>
      <c r="W80" s="15"/>
      <c r="X80" s="15"/>
      <c r="Y80" s="15"/>
      <c r="Z80" s="15"/>
    </row>
    <row r="81" spans="1:26" x14ac:dyDescent="0.3">
      <c r="A81" t="s">
        <v>2</v>
      </c>
      <c r="B81">
        <v>79</v>
      </c>
      <c r="C81">
        <v>52823</v>
      </c>
      <c r="D81">
        <v>52823</v>
      </c>
      <c r="E81">
        <v>53687</v>
      </c>
      <c r="F81" s="169">
        <v>53606</v>
      </c>
      <c r="G81" s="169">
        <v>57412</v>
      </c>
      <c r="H81" s="169">
        <v>59890</v>
      </c>
      <c r="I81" s="169">
        <v>62648</v>
      </c>
      <c r="J81" s="169">
        <v>66878</v>
      </c>
      <c r="K81" s="169">
        <v>70894</v>
      </c>
      <c r="L81" s="169">
        <v>74423</v>
      </c>
      <c r="M81" s="169">
        <v>77590</v>
      </c>
      <c r="N81" s="169">
        <v>81073</v>
      </c>
      <c r="O81" s="169">
        <v>84992</v>
      </c>
      <c r="P81" s="169">
        <v>88771</v>
      </c>
      <c r="Q81" s="15">
        <v>92497</v>
      </c>
      <c r="R81" s="15">
        <v>96185</v>
      </c>
      <c r="S81" s="15">
        <v>100332</v>
      </c>
      <c r="T81" s="15">
        <v>104929</v>
      </c>
      <c r="U81" s="15">
        <v>109417</v>
      </c>
      <c r="V81" s="15"/>
      <c r="W81" s="15"/>
      <c r="X81" s="15"/>
      <c r="Y81" s="15"/>
      <c r="Z81" s="15"/>
    </row>
    <row r="82" spans="1:26" x14ac:dyDescent="0.3">
      <c r="A82" t="s">
        <v>2</v>
      </c>
      <c r="B82">
        <v>80</v>
      </c>
      <c r="C82">
        <v>47788</v>
      </c>
      <c r="D82">
        <v>47788</v>
      </c>
      <c r="E82">
        <v>48999</v>
      </c>
      <c r="F82" s="169">
        <v>52366</v>
      </c>
      <c r="G82" s="169">
        <v>50452</v>
      </c>
      <c r="H82" s="169">
        <v>54739</v>
      </c>
      <c r="I82" s="169">
        <v>58375</v>
      </c>
      <c r="J82" s="169">
        <v>61497</v>
      </c>
      <c r="K82" s="169">
        <v>65689</v>
      </c>
      <c r="L82" s="169">
        <v>69675</v>
      </c>
      <c r="M82" s="169">
        <v>73187</v>
      </c>
      <c r="N82" s="169">
        <v>76346</v>
      </c>
      <c r="O82" s="169">
        <v>79817</v>
      </c>
      <c r="P82" s="169">
        <v>83721</v>
      </c>
      <c r="Q82" s="15">
        <v>87492</v>
      </c>
      <c r="R82" s="15">
        <v>91215</v>
      </c>
      <c r="S82" s="15">
        <v>94904</v>
      </c>
      <c r="T82" s="15">
        <v>99050</v>
      </c>
      <c r="U82" s="15">
        <v>103642</v>
      </c>
      <c r="V82" s="15"/>
      <c r="W82" s="15"/>
      <c r="X82" s="15"/>
      <c r="Y82" s="15"/>
      <c r="Z82" s="15"/>
    </row>
    <row r="83" spans="1:26" x14ac:dyDescent="0.3">
      <c r="A83" t="s">
        <v>2</v>
      </c>
      <c r="B83">
        <v>81</v>
      </c>
      <c r="C83">
        <v>43615</v>
      </c>
      <c r="D83">
        <v>43615</v>
      </c>
      <c r="E83">
        <v>45457</v>
      </c>
      <c r="F83" s="169">
        <v>47956</v>
      </c>
      <c r="G83" s="169">
        <v>49053</v>
      </c>
      <c r="H83" s="169">
        <v>47998</v>
      </c>
      <c r="I83" s="169">
        <v>53076</v>
      </c>
      <c r="J83" s="169">
        <v>54789</v>
      </c>
      <c r="K83" s="169">
        <v>57757</v>
      </c>
      <c r="L83" s="169">
        <v>61736</v>
      </c>
      <c r="M83" s="169">
        <v>65526</v>
      </c>
      <c r="N83" s="169">
        <v>68874</v>
      </c>
      <c r="O83" s="169">
        <v>71892</v>
      </c>
      <c r="P83" s="169">
        <v>75208</v>
      </c>
      <c r="Q83" s="15">
        <v>78935</v>
      </c>
      <c r="R83" s="15">
        <v>82542</v>
      </c>
      <c r="S83" s="15">
        <v>86107</v>
      </c>
      <c r="T83" s="15">
        <v>89644</v>
      </c>
      <c r="U83" s="15">
        <v>93616</v>
      </c>
      <c r="V83" s="15"/>
      <c r="W83" s="15"/>
      <c r="X83" s="15"/>
      <c r="Y83" s="15"/>
      <c r="Z83" s="15"/>
    </row>
    <row r="84" spans="1:26" x14ac:dyDescent="0.3">
      <c r="A84" t="s">
        <v>2</v>
      </c>
      <c r="B84">
        <v>82</v>
      </c>
      <c r="C84">
        <v>40774</v>
      </c>
      <c r="D84">
        <v>40774</v>
      </c>
      <c r="E84">
        <v>43081</v>
      </c>
      <c r="F84" s="169">
        <v>43856</v>
      </c>
      <c r="G84" s="169">
        <v>44655</v>
      </c>
      <c r="H84" s="169">
        <v>46281</v>
      </c>
      <c r="I84" s="169">
        <v>46316</v>
      </c>
      <c r="J84" s="169">
        <v>47614</v>
      </c>
      <c r="K84" s="169">
        <v>49185</v>
      </c>
      <c r="L84" s="169">
        <v>51884</v>
      </c>
      <c r="M84" s="169">
        <v>55495</v>
      </c>
      <c r="N84" s="169">
        <v>58940</v>
      </c>
      <c r="O84" s="169">
        <v>61992</v>
      </c>
      <c r="P84" s="169">
        <v>64749</v>
      </c>
      <c r="Q84" s="15">
        <v>67777</v>
      </c>
      <c r="R84" s="15">
        <v>71179</v>
      </c>
      <c r="S84" s="15">
        <v>74477</v>
      </c>
      <c r="T84" s="15">
        <v>77741</v>
      </c>
      <c r="U84" s="15">
        <v>80983</v>
      </c>
      <c r="V84" s="15"/>
      <c r="W84" s="15"/>
      <c r="X84" s="15"/>
      <c r="Y84" s="15"/>
      <c r="Z84" s="15"/>
    </row>
    <row r="85" spans="1:26" x14ac:dyDescent="0.3">
      <c r="A85" t="s">
        <v>2</v>
      </c>
      <c r="B85">
        <v>83</v>
      </c>
      <c r="C85">
        <v>36476</v>
      </c>
      <c r="D85">
        <v>36476</v>
      </c>
      <c r="E85">
        <v>38284</v>
      </c>
      <c r="F85" s="169">
        <v>37961</v>
      </c>
      <c r="G85" s="169">
        <v>40540</v>
      </c>
      <c r="H85" s="169">
        <v>41842</v>
      </c>
      <c r="I85" s="169">
        <v>44346</v>
      </c>
      <c r="J85" s="169">
        <v>45597</v>
      </c>
      <c r="K85" s="169">
        <v>46908</v>
      </c>
      <c r="L85" s="169">
        <v>48488</v>
      </c>
      <c r="M85" s="169">
        <v>51182</v>
      </c>
      <c r="N85" s="169">
        <v>54778</v>
      </c>
      <c r="O85" s="169">
        <v>58217</v>
      </c>
      <c r="P85" s="169">
        <v>61270</v>
      </c>
      <c r="Q85" s="15">
        <v>64035</v>
      </c>
      <c r="R85" s="15">
        <v>67070</v>
      </c>
      <c r="S85" s="15">
        <v>70481</v>
      </c>
      <c r="T85" s="15">
        <v>73790</v>
      </c>
      <c r="U85" s="15">
        <v>77070</v>
      </c>
      <c r="V85" s="15"/>
      <c r="W85" s="15"/>
      <c r="X85" s="15"/>
      <c r="Y85" s="15"/>
      <c r="Z85" s="15"/>
    </row>
    <row r="86" spans="1:26" x14ac:dyDescent="0.3">
      <c r="A86" t="s">
        <v>2</v>
      </c>
      <c r="B86">
        <v>84</v>
      </c>
      <c r="C86">
        <v>31474</v>
      </c>
      <c r="D86">
        <v>31474</v>
      </c>
      <c r="E86">
        <v>32907</v>
      </c>
      <c r="F86" s="169">
        <v>35397</v>
      </c>
      <c r="G86" s="169">
        <v>34717</v>
      </c>
      <c r="H86" s="169">
        <v>37793</v>
      </c>
      <c r="I86" s="169">
        <v>39904</v>
      </c>
      <c r="J86" s="169">
        <v>41420</v>
      </c>
      <c r="K86" s="169">
        <v>42619</v>
      </c>
      <c r="L86" s="169">
        <v>43873</v>
      </c>
      <c r="M86" s="169">
        <v>45381</v>
      </c>
      <c r="N86" s="169">
        <v>47932</v>
      </c>
      <c r="O86" s="169">
        <v>51334</v>
      </c>
      <c r="P86" s="169">
        <v>54590</v>
      </c>
      <c r="Q86" s="15">
        <v>57489</v>
      </c>
      <c r="R86" s="15">
        <v>60120</v>
      </c>
      <c r="S86" s="15">
        <v>63008</v>
      </c>
      <c r="T86" s="15">
        <v>66252</v>
      </c>
      <c r="U86" s="15">
        <v>69403</v>
      </c>
      <c r="V86" s="15"/>
      <c r="W86" s="15"/>
      <c r="X86" s="15"/>
      <c r="Y86" s="15"/>
      <c r="Z86" s="15"/>
    </row>
    <row r="87" spans="1:26" x14ac:dyDescent="0.3">
      <c r="A87" t="s">
        <v>2</v>
      </c>
      <c r="B87">
        <v>85</v>
      </c>
      <c r="C87">
        <v>27720</v>
      </c>
      <c r="D87">
        <v>27720</v>
      </c>
      <c r="E87">
        <v>29000</v>
      </c>
      <c r="F87" s="169">
        <v>31485</v>
      </c>
      <c r="G87" s="169">
        <v>32043</v>
      </c>
      <c r="H87" s="169">
        <v>32069</v>
      </c>
      <c r="I87" s="169">
        <v>35840</v>
      </c>
      <c r="J87" s="169">
        <v>36874</v>
      </c>
      <c r="K87" s="169">
        <v>38306</v>
      </c>
      <c r="L87" s="169">
        <v>39447</v>
      </c>
      <c r="M87" s="169">
        <v>40642</v>
      </c>
      <c r="N87" s="169">
        <v>42071</v>
      </c>
      <c r="O87" s="169">
        <v>44472</v>
      </c>
      <c r="P87" s="169">
        <v>47666</v>
      </c>
      <c r="Q87" s="15">
        <v>50728</v>
      </c>
      <c r="R87" s="15">
        <v>53464</v>
      </c>
      <c r="S87" s="15">
        <v>55952</v>
      </c>
      <c r="T87" s="15">
        <v>58684</v>
      </c>
      <c r="U87" s="15">
        <v>61749</v>
      </c>
      <c r="V87" s="15"/>
      <c r="W87" s="15"/>
      <c r="X87" s="15"/>
      <c r="Y87" s="15"/>
      <c r="Z87" s="15"/>
    </row>
    <row r="88" spans="1:26" x14ac:dyDescent="0.3">
      <c r="A88" t="s">
        <v>2</v>
      </c>
      <c r="B88">
        <v>86</v>
      </c>
      <c r="C88">
        <v>25392</v>
      </c>
      <c r="D88">
        <v>25392</v>
      </c>
      <c r="E88">
        <v>26411</v>
      </c>
      <c r="F88" s="169">
        <v>27235</v>
      </c>
      <c r="G88" s="169">
        <v>28182</v>
      </c>
      <c r="H88" s="169">
        <v>29341</v>
      </c>
      <c r="I88" s="169">
        <v>30108</v>
      </c>
      <c r="J88" s="169">
        <v>30985</v>
      </c>
      <c r="K88" s="169">
        <v>31911</v>
      </c>
      <c r="L88" s="169">
        <v>33184</v>
      </c>
      <c r="M88" s="169">
        <v>34206</v>
      </c>
      <c r="N88" s="169">
        <v>35277</v>
      </c>
      <c r="O88" s="169">
        <v>36554</v>
      </c>
      <c r="P88" s="169">
        <v>38678</v>
      </c>
      <c r="Q88" s="15">
        <v>41496</v>
      </c>
      <c r="R88" s="15">
        <v>44205</v>
      </c>
      <c r="S88" s="15">
        <v>46631</v>
      </c>
      <c r="T88" s="15">
        <v>48845</v>
      </c>
      <c r="U88" s="15">
        <v>51277</v>
      </c>
      <c r="V88" s="15"/>
      <c r="W88" s="15"/>
      <c r="X88" s="15"/>
      <c r="Y88" s="15"/>
      <c r="Z88" s="15"/>
    </row>
    <row r="89" spans="1:26" x14ac:dyDescent="0.3">
      <c r="A89" t="s">
        <v>2</v>
      </c>
      <c r="B89">
        <v>87</v>
      </c>
      <c r="C89">
        <v>22519</v>
      </c>
      <c r="D89">
        <v>22519</v>
      </c>
      <c r="E89">
        <v>23348</v>
      </c>
      <c r="F89" s="169">
        <v>22541</v>
      </c>
      <c r="G89" s="169">
        <v>24176</v>
      </c>
      <c r="H89" s="169">
        <v>25501</v>
      </c>
      <c r="I89" s="169">
        <v>27174</v>
      </c>
      <c r="J89" s="169">
        <v>28792</v>
      </c>
      <c r="K89" s="169">
        <v>29661</v>
      </c>
      <c r="L89" s="169">
        <v>30579</v>
      </c>
      <c r="M89" s="169">
        <v>31830</v>
      </c>
      <c r="N89" s="169">
        <v>32842</v>
      </c>
      <c r="O89" s="169">
        <v>33903</v>
      </c>
      <c r="P89" s="169">
        <v>35165</v>
      </c>
      <c r="Q89" s="15">
        <v>37244</v>
      </c>
      <c r="R89" s="15">
        <v>39997</v>
      </c>
      <c r="S89" s="15">
        <v>42647</v>
      </c>
      <c r="T89" s="15">
        <v>45028</v>
      </c>
      <c r="U89" s="15">
        <v>47209</v>
      </c>
      <c r="V89" s="15"/>
      <c r="W89" s="15"/>
      <c r="X89" s="15"/>
      <c r="Y89" s="15"/>
      <c r="Z89" s="15"/>
    </row>
    <row r="90" spans="1:26" x14ac:dyDescent="0.3">
      <c r="A90" t="s">
        <v>2</v>
      </c>
      <c r="B90">
        <v>88</v>
      </c>
      <c r="C90">
        <v>19639</v>
      </c>
      <c r="D90">
        <v>19639</v>
      </c>
      <c r="E90">
        <v>20248</v>
      </c>
      <c r="F90" s="169">
        <v>20514</v>
      </c>
      <c r="G90" s="169">
        <v>19630</v>
      </c>
      <c r="H90" s="169">
        <v>21559</v>
      </c>
      <c r="I90" s="169">
        <v>23485</v>
      </c>
      <c r="J90" s="169">
        <v>25461</v>
      </c>
      <c r="K90" s="169">
        <v>27006</v>
      </c>
      <c r="L90" s="169">
        <v>27850</v>
      </c>
      <c r="M90" s="169">
        <v>28741</v>
      </c>
      <c r="N90" s="169">
        <v>29945</v>
      </c>
      <c r="O90" s="169">
        <v>30927</v>
      </c>
      <c r="P90" s="169">
        <v>31956</v>
      </c>
      <c r="Q90" s="15">
        <v>33177</v>
      </c>
      <c r="R90" s="15">
        <v>35173</v>
      </c>
      <c r="S90" s="15">
        <v>37807</v>
      </c>
      <c r="T90" s="15">
        <v>40349</v>
      </c>
      <c r="U90" s="15">
        <v>42641</v>
      </c>
      <c r="V90" s="15"/>
      <c r="W90" s="15"/>
      <c r="X90" s="15"/>
      <c r="Y90" s="15"/>
      <c r="Z90" s="15"/>
    </row>
    <row r="91" spans="1:26" x14ac:dyDescent="0.3">
      <c r="A91" t="s">
        <v>2</v>
      </c>
      <c r="B91">
        <v>89</v>
      </c>
      <c r="C91">
        <v>16303</v>
      </c>
      <c r="D91">
        <v>16303</v>
      </c>
      <c r="E91">
        <v>16688</v>
      </c>
      <c r="F91" s="169">
        <v>17031</v>
      </c>
      <c r="G91" s="169">
        <v>17700</v>
      </c>
      <c r="H91" s="169">
        <v>17317</v>
      </c>
      <c r="I91" s="169">
        <v>19506</v>
      </c>
      <c r="J91" s="169">
        <v>21396</v>
      </c>
      <c r="K91" s="169">
        <v>23221</v>
      </c>
      <c r="L91" s="169">
        <v>24654</v>
      </c>
      <c r="M91" s="169">
        <v>25450</v>
      </c>
      <c r="N91" s="169">
        <v>26291</v>
      </c>
      <c r="O91" s="169">
        <v>27418</v>
      </c>
      <c r="P91" s="169">
        <v>28344</v>
      </c>
      <c r="Q91" s="15">
        <v>29315</v>
      </c>
      <c r="R91" s="15">
        <v>30464</v>
      </c>
      <c r="S91" s="15">
        <v>32326</v>
      </c>
      <c r="T91" s="15">
        <v>34780</v>
      </c>
      <c r="U91" s="15">
        <v>37150</v>
      </c>
      <c r="V91" s="15"/>
      <c r="W91" s="15"/>
      <c r="X91" s="15"/>
      <c r="Y91" s="15"/>
      <c r="Z91" s="15"/>
    </row>
    <row r="92" spans="1:26" x14ac:dyDescent="0.3">
      <c r="A92" t="s">
        <v>2</v>
      </c>
      <c r="B92">
        <v>90</v>
      </c>
      <c r="C92">
        <v>55574</v>
      </c>
      <c r="D92">
        <v>55574</v>
      </c>
      <c r="E92">
        <v>58540</v>
      </c>
      <c r="F92" s="169">
        <v>64499</v>
      </c>
      <c r="G92" s="169">
        <v>65503</v>
      </c>
      <c r="H92" s="169">
        <v>68049</v>
      </c>
      <c r="I92" s="169">
        <v>72732</v>
      </c>
      <c r="J92" s="169">
        <v>75865</v>
      </c>
      <c r="K92" s="169">
        <v>80190</v>
      </c>
      <c r="L92" s="169">
        <v>85400</v>
      </c>
      <c r="M92" s="169">
        <v>90965</v>
      </c>
      <c r="N92" s="169">
        <v>96248</v>
      </c>
      <c r="O92" s="169">
        <v>101346</v>
      </c>
      <c r="P92" s="169">
        <v>106556</v>
      </c>
      <c r="Q92" s="15">
        <v>111674</v>
      </c>
      <c r="R92" s="15">
        <v>116764</v>
      </c>
      <c r="S92" s="15">
        <v>121993</v>
      </c>
      <c r="T92" s="15">
        <v>127986</v>
      </c>
      <c r="U92" s="15">
        <v>135133</v>
      </c>
      <c r="V92" s="15"/>
      <c r="W92" s="15"/>
      <c r="X92" s="15"/>
      <c r="Y92" s="15"/>
      <c r="Z92" s="15"/>
    </row>
    <row r="93" spans="1:26" x14ac:dyDescent="0.3">
      <c r="A93" t="s">
        <v>3</v>
      </c>
      <c r="B93">
        <v>0</v>
      </c>
      <c r="C93">
        <v>329333</v>
      </c>
      <c r="D93">
        <v>329333</v>
      </c>
      <c r="E93">
        <v>327412</v>
      </c>
      <c r="F93" s="169">
        <v>290839</v>
      </c>
      <c r="G93" s="169">
        <v>281182</v>
      </c>
      <c r="H93" s="169">
        <v>286748</v>
      </c>
      <c r="I93" s="169">
        <v>279406</v>
      </c>
      <c r="J93" s="169">
        <v>274672</v>
      </c>
      <c r="K93" s="169">
        <v>268883</v>
      </c>
      <c r="L93" s="169">
        <v>263897</v>
      </c>
      <c r="M93" s="169">
        <v>259434</v>
      </c>
      <c r="N93" s="169">
        <v>255399</v>
      </c>
      <c r="O93" s="169">
        <v>251811</v>
      </c>
      <c r="P93" s="169">
        <v>248648</v>
      </c>
      <c r="Q93" s="15">
        <v>245750</v>
      </c>
      <c r="R93" s="15">
        <v>243034</v>
      </c>
      <c r="S93" s="15">
        <v>240506</v>
      </c>
      <c r="T93" s="15">
        <v>238195</v>
      </c>
      <c r="U93" s="15">
        <v>236047</v>
      </c>
      <c r="V93" s="15"/>
      <c r="W93" s="15"/>
      <c r="X93" s="15"/>
      <c r="Y93" s="15"/>
      <c r="Z93" s="15"/>
    </row>
    <row r="94" spans="1:26" x14ac:dyDescent="0.3">
      <c r="A94" t="s">
        <v>3</v>
      </c>
      <c r="B94">
        <v>1</v>
      </c>
      <c r="C94">
        <v>337138</v>
      </c>
      <c r="D94">
        <v>337138</v>
      </c>
      <c r="E94">
        <v>343163</v>
      </c>
      <c r="F94" s="169">
        <v>337865</v>
      </c>
      <c r="G94" s="169">
        <v>324000</v>
      </c>
      <c r="H94" s="169">
        <v>319613</v>
      </c>
      <c r="I94" s="169">
        <v>313218</v>
      </c>
      <c r="J94" s="169">
        <v>304934</v>
      </c>
      <c r="K94" s="169">
        <v>299864</v>
      </c>
      <c r="L94" s="169">
        <v>293636</v>
      </c>
      <c r="M94" s="169">
        <v>288284</v>
      </c>
      <c r="N94" s="169">
        <v>283497</v>
      </c>
      <c r="O94" s="169">
        <v>279176</v>
      </c>
      <c r="P94" s="169">
        <v>275341</v>
      </c>
      <c r="Q94" s="15">
        <v>271932</v>
      </c>
      <c r="R94" s="15">
        <v>268765</v>
      </c>
      <c r="S94" s="15">
        <v>265797</v>
      </c>
      <c r="T94" s="15">
        <v>263034</v>
      </c>
      <c r="U94" s="15">
        <v>260509</v>
      </c>
      <c r="V94" s="15"/>
      <c r="W94" s="15"/>
      <c r="X94" s="15"/>
      <c r="Y94" s="15"/>
      <c r="Z94" s="15"/>
    </row>
    <row r="95" spans="1:26" x14ac:dyDescent="0.3">
      <c r="A95" t="s">
        <v>3</v>
      </c>
      <c r="B95">
        <v>2</v>
      </c>
      <c r="C95">
        <v>356935</v>
      </c>
      <c r="D95">
        <v>356935</v>
      </c>
      <c r="E95">
        <v>354130</v>
      </c>
      <c r="F95" s="169">
        <v>352300</v>
      </c>
      <c r="G95" s="169">
        <v>342160</v>
      </c>
      <c r="H95" s="169">
        <v>335335</v>
      </c>
      <c r="I95" s="169">
        <v>314480</v>
      </c>
      <c r="J95" s="169">
        <v>303839</v>
      </c>
      <c r="K95" s="169">
        <v>295865</v>
      </c>
      <c r="L95" s="169">
        <v>291007</v>
      </c>
      <c r="M95" s="169">
        <v>285023</v>
      </c>
      <c r="N95" s="169">
        <v>279886</v>
      </c>
      <c r="O95" s="169">
        <v>275295</v>
      </c>
      <c r="P95" s="169">
        <v>271156</v>
      </c>
      <c r="Q95" s="15">
        <v>267463</v>
      </c>
      <c r="R95" s="15">
        <v>264150</v>
      </c>
      <c r="S95" s="15">
        <v>261072</v>
      </c>
      <c r="T95" s="15">
        <v>258187</v>
      </c>
      <c r="U95" s="15">
        <v>255501</v>
      </c>
      <c r="V95" s="15"/>
      <c r="W95" s="15"/>
      <c r="X95" s="15"/>
      <c r="Y95" s="15"/>
      <c r="Z95" s="15"/>
    </row>
    <row r="96" spans="1:26" x14ac:dyDescent="0.3">
      <c r="A96" t="s">
        <v>3</v>
      </c>
      <c r="B96">
        <v>3</v>
      </c>
      <c r="C96">
        <v>351173</v>
      </c>
      <c r="D96">
        <v>351173</v>
      </c>
      <c r="E96">
        <v>343955</v>
      </c>
      <c r="F96" s="169">
        <v>343097</v>
      </c>
      <c r="G96" s="169">
        <v>354176</v>
      </c>
      <c r="H96" s="169">
        <v>354414</v>
      </c>
      <c r="I96" s="169">
        <v>329478</v>
      </c>
      <c r="J96" s="169">
        <v>318494</v>
      </c>
      <c r="K96" s="169">
        <v>307763</v>
      </c>
      <c r="L96" s="169">
        <v>299729</v>
      </c>
      <c r="M96" s="169">
        <v>294850</v>
      </c>
      <c r="N96" s="169">
        <v>288829</v>
      </c>
      <c r="O96" s="169">
        <v>283662</v>
      </c>
      <c r="P96" s="169">
        <v>279049</v>
      </c>
      <c r="Q96" s="15">
        <v>274876</v>
      </c>
      <c r="R96" s="15">
        <v>271130</v>
      </c>
      <c r="S96" s="15">
        <v>267771</v>
      </c>
      <c r="T96" s="15">
        <v>264650</v>
      </c>
      <c r="U96" s="15">
        <v>261723</v>
      </c>
      <c r="V96" s="15"/>
      <c r="W96" s="15"/>
      <c r="X96" s="15"/>
      <c r="Y96" s="15"/>
      <c r="Z96" s="15"/>
    </row>
    <row r="97" spans="1:26" x14ac:dyDescent="0.3">
      <c r="A97" t="s">
        <v>3</v>
      </c>
      <c r="B97">
        <v>4</v>
      </c>
      <c r="C97">
        <v>332881</v>
      </c>
      <c r="D97">
        <v>332881</v>
      </c>
      <c r="E97">
        <v>339663</v>
      </c>
      <c r="F97" s="169">
        <v>324419</v>
      </c>
      <c r="G97" s="169">
        <v>342694</v>
      </c>
      <c r="H97" s="169">
        <v>364391</v>
      </c>
      <c r="I97" s="169">
        <v>346813</v>
      </c>
      <c r="J97" s="169">
        <v>333573</v>
      </c>
      <c r="K97" s="169">
        <v>322482</v>
      </c>
      <c r="L97" s="169">
        <v>311647</v>
      </c>
      <c r="M97" s="169">
        <v>303542</v>
      </c>
      <c r="N97" s="169">
        <v>298628</v>
      </c>
      <c r="O97" s="169">
        <v>292557</v>
      </c>
      <c r="P97" s="169">
        <v>287351</v>
      </c>
      <c r="Q97" s="15">
        <v>282693</v>
      </c>
      <c r="R97" s="15">
        <v>278465</v>
      </c>
      <c r="S97" s="15">
        <v>274669</v>
      </c>
      <c r="T97" s="15">
        <v>271265</v>
      </c>
      <c r="U97" s="15">
        <v>268102</v>
      </c>
      <c r="V97" s="15"/>
      <c r="W97" s="15"/>
      <c r="X97" s="15"/>
      <c r="Y97" s="15"/>
      <c r="Z97" s="15"/>
    </row>
    <row r="98" spans="1:26" x14ac:dyDescent="0.3">
      <c r="A98" t="s">
        <v>3</v>
      </c>
      <c r="B98">
        <v>5</v>
      </c>
      <c r="C98">
        <v>323085</v>
      </c>
      <c r="D98">
        <v>323085</v>
      </c>
      <c r="E98">
        <v>327392</v>
      </c>
      <c r="F98" s="169">
        <v>339718</v>
      </c>
      <c r="G98" s="169">
        <v>323942</v>
      </c>
      <c r="H98" s="169">
        <v>351014</v>
      </c>
      <c r="I98" s="169">
        <v>356736</v>
      </c>
      <c r="J98" s="169">
        <v>352820</v>
      </c>
      <c r="K98" s="169">
        <v>339372</v>
      </c>
      <c r="L98" s="169">
        <v>328109</v>
      </c>
      <c r="M98" s="169">
        <v>317104</v>
      </c>
      <c r="N98" s="169">
        <v>308874</v>
      </c>
      <c r="O98" s="169">
        <v>303891</v>
      </c>
      <c r="P98" s="169">
        <v>297732</v>
      </c>
      <c r="Q98" s="15">
        <v>292444</v>
      </c>
      <c r="R98" s="15">
        <v>287702</v>
      </c>
      <c r="S98" s="15">
        <v>283396</v>
      </c>
      <c r="T98" s="15">
        <v>279532</v>
      </c>
      <c r="U98" s="15">
        <v>276066</v>
      </c>
      <c r="V98" s="15"/>
      <c r="W98" s="15"/>
      <c r="X98" s="15"/>
      <c r="Y98" s="15"/>
      <c r="Z98" s="15"/>
    </row>
    <row r="99" spans="1:26" x14ac:dyDescent="0.3">
      <c r="A99" t="s">
        <v>3</v>
      </c>
      <c r="B99">
        <v>6</v>
      </c>
      <c r="C99">
        <v>311730</v>
      </c>
      <c r="D99">
        <v>311730</v>
      </c>
      <c r="E99">
        <v>310820</v>
      </c>
      <c r="F99" s="169">
        <v>326749</v>
      </c>
      <c r="G99" s="169">
        <v>338699</v>
      </c>
      <c r="H99" s="169">
        <v>329755</v>
      </c>
      <c r="I99" s="169">
        <v>343647</v>
      </c>
      <c r="J99" s="169">
        <v>348667</v>
      </c>
      <c r="K99" s="169">
        <v>344853</v>
      </c>
      <c r="L99" s="169">
        <v>331721</v>
      </c>
      <c r="M99" s="169">
        <v>320723</v>
      </c>
      <c r="N99" s="169">
        <v>309976</v>
      </c>
      <c r="O99" s="169">
        <v>301942</v>
      </c>
      <c r="P99" s="169">
        <v>297081</v>
      </c>
      <c r="Q99" s="15">
        <v>291066</v>
      </c>
      <c r="R99" s="15">
        <v>285893</v>
      </c>
      <c r="S99" s="15">
        <v>281255</v>
      </c>
      <c r="T99" s="15">
        <v>277043</v>
      </c>
      <c r="U99" s="15">
        <v>273264</v>
      </c>
      <c r="V99" s="15"/>
      <c r="W99" s="15"/>
      <c r="X99" s="15"/>
      <c r="Y99" s="15"/>
      <c r="Z99" s="15"/>
    </row>
    <row r="100" spans="1:26" x14ac:dyDescent="0.3">
      <c r="A100" t="s">
        <v>3</v>
      </c>
      <c r="B100">
        <v>7</v>
      </c>
      <c r="C100">
        <v>304343</v>
      </c>
      <c r="D100">
        <v>304343</v>
      </c>
      <c r="E100">
        <v>305333</v>
      </c>
      <c r="F100" s="169">
        <v>310626</v>
      </c>
      <c r="G100" s="169">
        <v>325268</v>
      </c>
      <c r="H100" s="169">
        <v>343675</v>
      </c>
      <c r="I100" s="169">
        <v>323101</v>
      </c>
      <c r="J100" s="169">
        <v>316140</v>
      </c>
      <c r="K100" s="169">
        <v>320764</v>
      </c>
      <c r="L100" s="169">
        <v>317262</v>
      </c>
      <c r="M100" s="169">
        <v>305186</v>
      </c>
      <c r="N100" s="169">
        <v>295074</v>
      </c>
      <c r="O100" s="169">
        <v>285191</v>
      </c>
      <c r="P100" s="169">
        <v>277803</v>
      </c>
      <c r="Q100" s="15">
        <v>273334</v>
      </c>
      <c r="R100" s="15">
        <v>267797</v>
      </c>
      <c r="S100" s="15">
        <v>263037</v>
      </c>
      <c r="T100" s="15">
        <v>258768</v>
      </c>
      <c r="U100" s="15">
        <v>254890</v>
      </c>
      <c r="V100" s="15"/>
      <c r="W100" s="15"/>
      <c r="X100" s="15"/>
      <c r="Y100" s="15"/>
      <c r="Z100" s="15"/>
    </row>
    <row r="101" spans="1:26" x14ac:dyDescent="0.3">
      <c r="A101" t="s">
        <v>3</v>
      </c>
      <c r="B101">
        <v>8</v>
      </c>
      <c r="C101">
        <v>295626</v>
      </c>
      <c r="D101">
        <v>295626</v>
      </c>
      <c r="E101">
        <v>296346</v>
      </c>
      <c r="F101" s="169">
        <v>304019</v>
      </c>
      <c r="G101" s="169">
        <v>310588</v>
      </c>
      <c r="H101" s="169">
        <v>329412</v>
      </c>
      <c r="I101" s="169">
        <v>337756</v>
      </c>
      <c r="J101" s="169">
        <v>330567</v>
      </c>
      <c r="K101" s="169">
        <v>323447</v>
      </c>
      <c r="L101" s="169">
        <v>328180</v>
      </c>
      <c r="M101" s="169">
        <v>324600</v>
      </c>
      <c r="N101" s="169">
        <v>312246</v>
      </c>
      <c r="O101" s="169">
        <v>301902</v>
      </c>
      <c r="P101" s="169">
        <v>291791</v>
      </c>
      <c r="Q101" s="15">
        <v>284233</v>
      </c>
      <c r="R101" s="15">
        <v>279658</v>
      </c>
      <c r="S101" s="15">
        <v>273993</v>
      </c>
      <c r="T101" s="15">
        <v>269121</v>
      </c>
      <c r="U101" s="15">
        <v>264751</v>
      </c>
      <c r="V101" s="15"/>
      <c r="W101" s="15"/>
      <c r="X101" s="15"/>
      <c r="Y101" s="15"/>
      <c r="Z101" s="15"/>
    </row>
    <row r="102" spans="1:26" x14ac:dyDescent="0.3">
      <c r="A102" t="s">
        <v>3</v>
      </c>
      <c r="B102">
        <v>9</v>
      </c>
      <c r="C102">
        <v>284663</v>
      </c>
      <c r="D102">
        <v>284663</v>
      </c>
      <c r="E102">
        <v>280372</v>
      </c>
      <c r="F102" s="169">
        <v>294949</v>
      </c>
      <c r="G102" s="169">
        <v>303723</v>
      </c>
      <c r="H102" s="169">
        <v>313824</v>
      </c>
      <c r="I102" s="169">
        <v>323381</v>
      </c>
      <c r="J102" s="169">
        <v>329995</v>
      </c>
      <c r="K102" s="169">
        <v>322971</v>
      </c>
      <c r="L102" s="169">
        <v>316014</v>
      </c>
      <c r="M102" s="169">
        <v>320637</v>
      </c>
      <c r="N102" s="169">
        <v>317139</v>
      </c>
      <c r="O102" s="169">
        <v>305069</v>
      </c>
      <c r="P102" s="169">
        <v>294960</v>
      </c>
      <c r="Q102" s="15">
        <v>285082</v>
      </c>
      <c r="R102" s="15">
        <v>277696</v>
      </c>
      <c r="S102" s="15">
        <v>273225</v>
      </c>
      <c r="T102" s="15">
        <v>267688</v>
      </c>
      <c r="U102" s="15">
        <v>262926</v>
      </c>
      <c r="V102" s="15"/>
      <c r="W102" s="15"/>
      <c r="X102" s="15"/>
      <c r="Y102" s="15"/>
      <c r="Z102" s="15"/>
    </row>
    <row r="103" spans="1:26" x14ac:dyDescent="0.3">
      <c r="A103" t="s">
        <v>3</v>
      </c>
      <c r="B103">
        <v>10</v>
      </c>
      <c r="C103">
        <v>272032</v>
      </c>
      <c r="D103">
        <v>272032</v>
      </c>
      <c r="E103">
        <v>270078</v>
      </c>
      <c r="F103" s="169">
        <v>283541</v>
      </c>
      <c r="G103" s="169">
        <v>294324</v>
      </c>
      <c r="H103" s="169">
        <v>305885</v>
      </c>
      <c r="I103" s="169">
        <v>307834</v>
      </c>
      <c r="J103" s="169">
        <v>310967</v>
      </c>
      <c r="K103" s="169">
        <v>317324</v>
      </c>
      <c r="L103" s="169">
        <v>310567</v>
      </c>
      <c r="M103" s="169">
        <v>303875</v>
      </c>
      <c r="N103" s="169">
        <v>308317</v>
      </c>
      <c r="O103" s="169">
        <v>304951</v>
      </c>
      <c r="P103" s="169">
        <v>293342</v>
      </c>
      <c r="Q103" s="15">
        <v>283620</v>
      </c>
      <c r="R103" s="15">
        <v>274120</v>
      </c>
      <c r="S103" s="15">
        <v>267017</v>
      </c>
      <c r="T103" s="15">
        <v>262716</v>
      </c>
      <c r="U103" s="15">
        <v>257392</v>
      </c>
      <c r="V103" s="15"/>
      <c r="W103" s="15"/>
      <c r="X103" s="15"/>
      <c r="Y103" s="15"/>
      <c r="Z103" s="15"/>
    </row>
    <row r="104" spans="1:26" x14ac:dyDescent="0.3">
      <c r="A104" t="s">
        <v>3</v>
      </c>
      <c r="B104">
        <v>11</v>
      </c>
      <c r="C104">
        <v>266187</v>
      </c>
      <c r="D104">
        <v>266187</v>
      </c>
      <c r="E104">
        <v>263978</v>
      </c>
      <c r="F104" s="169">
        <v>272420</v>
      </c>
      <c r="G104" s="169">
        <v>283063</v>
      </c>
      <c r="H104" s="169">
        <v>295675</v>
      </c>
      <c r="I104" s="169">
        <v>299808</v>
      </c>
      <c r="J104" s="169">
        <v>298515</v>
      </c>
      <c r="K104" s="169">
        <v>301549</v>
      </c>
      <c r="L104" s="169">
        <v>307709</v>
      </c>
      <c r="M104" s="169">
        <v>301151</v>
      </c>
      <c r="N104" s="169">
        <v>294659</v>
      </c>
      <c r="O104" s="169">
        <v>298961</v>
      </c>
      <c r="P104" s="169">
        <v>295694</v>
      </c>
      <c r="Q104" s="15">
        <v>284435</v>
      </c>
      <c r="R104" s="15">
        <v>275008</v>
      </c>
      <c r="S104" s="15">
        <v>265795</v>
      </c>
      <c r="T104" s="15">
        <v>258906</v>
      </c>
      <c r="U104" s="15">
        <v>254735</v>
      </c>
      <c r="V104" s="15"/>
      <c r="W104" s="15"/>
      <c r="X104" s="15"/>
      <c r="Y104" s="15"/>
      <c r="Z104" s="15"/>
    </row>
    <row r="105" spans="1:26" x14ac:dyDescent="0.3">
      <c r="A105" t="s">
        <v>3</v>
      </c>
      <c r="B105">
        <v>12</v>
      </c>
      <c r="C105">
        <v>260934</v>
      </c>
      <c r="D105">
        <v>260934</v>
      </c>
      <c r="E105">
        <v>254231</v>
      </c>
      <c r="F105" s="169">
        <v>267887</v>
      </c>
      <c r="G105" s="169">
        <v>271428</v>
      </c>
      <c r="H105" s="169">
        <v>284337</v>
      </c>
      <c r="I105" s="169">
        <v>289569</v>
      </c>
      <c r="J105" s="169">
        <v>291041</v>
      </c>
      <c r="K105" s="169">
        <v>289782</v>
      </c>
      <c r="L105" s="169">
        <v>292723</v>
      </c>
      <c r="M105" s="169">
        <v>298697</v>
      </c>
      <c r="N105" s="169">
        <v>292327</v>
      </c>
      <c r="O105" s="169">
        <v>286019</v>
      </c>
      <c r="P105" s="169">
        <v>290191</v>
      </c>
      <c r="Q105" s="15">
        <v>287018</v>
      </c>
      <c r="R105" s="15">
        <v>276089</v>
      </c>
      <c r="S105" s="15">
        <v>266937</v>
      </c>
      <c r="T105" s="15">
        <v>257993</v>
      </c>
      <c r="U105" s="15">
        <v>251305</v>
      </c>
      <c r="V105" s="15"/>
      <c r="W105" s="15"/>
      <c r="X105" s="15"/>
      <c r="Y105" s="15"/>
      <c r="Z105" s="15"/>
    </row>
    <row r="106" spans="1:26" x14ac:dyDescent="0.3">
      <c r="A106" t="s">
        <v>3</v>
      </c>
      <c r="B106">
        <v>13</v>
      </c>
      <c r="C106">
        <v>256397</v>
      </c>
      <c r="D106">
        <v>256397</v>
      </c>
      <c r="E106">
        <v>253144</v>
      </c>
      <c r="F106" s="169">
        <v>254087</v>
      </c>
      <c r="G106" s="169">
        <v>268570</v>
      </c>
      <c r="H106" s="169">
        <v>273125</v>
      </c>
      <c r="I106" s="169">
        <v>279205</v>
      </c>
      <c r="J106" s="169">
        <v>280023</v>
      </c>
      <c r="K106" s="169">
        <v>281443</v>
      </c>
      <c r="L106" s="169">
        <v>280222</v>
      </c>
      <c r="M106" s="169">
        <v>283062</v>
      </c>
      <c r="N106" s="169">
        <v>288834</v>
      </c>
      <c r="O106" s="169">
        <v>282669</v>
      </c>
      <c r="P106" s="169">
        <v>276565</v>
      </c>
      <c r="Q106" s="15">
        <v>280596</v>
      </c>
      <c r="R106" s="15">
        <v>277529</v>
      </c>
      <c r="S106" s="15">
        <v>266960</v>
      </c>
      <c r="T106" s="15">
        <v>258109</v>
      </c>
      <c r="U106" s="15">
        <v>249461</v>
      </c>
      <c r="V106" s="15"/>
      <c r="W106" s="15"/>
      <c r="X106" s="15"/>
      <c r="Y106" s="15"/>
      <c r="Z106" s="15"/>
    </row>
    <row r="107" spans="1:26" x14ac:dyDescent="0.3">
      <c r="A107" t="s">
        <v>3</v>
      </c>
      <c r="B107">
        <v>14</v>
      </c>
      <c r="C107">
        <v>250707</v>
      </c>
      <c r="D107">
        <v>250707</v>
      </c>
      <c r="E107">
        <v>249656</v>
      </c>
      <c r="F107" s="169">
        <v>252041</v>
      </c>
      <c r="G107" s="169">
        <v>254983</v>
      </c>
      <c r="H107" s="169">
        <v>269988</v>
      </c>
      <c r="I107" s="169">
        <v>268717</v>
      </c>
      <c r="J107" s="169">
        <v>263933</v>
      </c>
      <c r="K107" s="169">
        <v>264707</v>
      </c>
      <c r="L107" s="169">
        <v>266048</v>
      </c>
      <c r="M107" s="169">
        <v>264893</v>
      </c>
      <c r="N107" s="169">
        <v>267576</v>
      </c>
      <c r="O107" s="169">
        <v>273030</v>
      </c>
      <c r="P107" s="169">
        <v>267202</v>
      </c>
      <c r="Q107" s="15">
        <v>261429</v>
      </c>
      <c r="R107" s="15">
        <v>265240</v>
      </c>
      <c r="S107" s="15">
        <v>262340</v>
      </c>
      <c r="T107" s="15">
        <v>252349</v>
      </c>
      <c r="U107" s="15">
        <v>243981</v>
      </c>
      <c r="V107" s="15"/>
      <c r="W107" s="15"/>
      <c r="X107" s="15"/>
      <c r="Y107" s="15"/>
      <c r="Z107" s="15"/>
    </row>
    <row r="108" spans="1:26" x14ac:dyDescent="0.3">
      <c r="A108" t="s">
        <v>3</v>
      </c>
      <c r="B108">
        <v>15</v>
      </c>
      <c r="C108">
        <v>239595</v>
      </c>
      <c r="D108">
        <v>239595</v>
      </c>
      <c r="E108">
        <v>237106</v>
      </c>
      <c r="F108" s="169">
        <v>249379</v>
      </c>
      <c r="G108" s="169">
        <v>253666</v>
      </c>
      <c r="H108" s="169">
        <v>257846</v>
      </c>
      <c r="I108" s="169">
        <v>266398</v>
      </c>
      <c r="J108" s="169">
        <v>264428</v>
      </c>
      <c r="K108" s="169">
        <v>259730</v>
      </c>
      <c r="L108" s="169">
        <v>260499</v>
      </c>
      <c r="M108" s="169">
        <v>261828</v>
      </c>
      <c r="N108" s="169">
        <v>260699</v>
      </c>
      <c r="O108" s="169">
        <v>263348</v>
      </c>
      <c r="P108" s="169">
        <v>268724</v>
      </c>
      <c r="Q108" s="15">
        <v>262988</v>
      </c>
      <c r="R108" s="15">
        <v>257306</v>
      </c>
      <c r="S108" s="15">
        <v>261057</v>
      </c>
      <c r="T108" s="15">
        <v>258203</v>
      </c>
      <c r="U108" s="15">
        <v>248370</v>
      </c>
      <c r="V108" s="15"/>
      <c r="W108" s="15"/>
      <c r="X108" s="15"/>
      <c r="Y108" s="15"/>
      <c r="Z108" s="15"/>
    </row>
    <row r="109" spans="1:26" x14ac:dyDescent="0.3">
      <c r="A109" t="s">
        <v>3</v>
      </c>
      <c r="B109">
        <v>16</v>
      </c>
      <c r="C109">
        <v>245415</v>
      </c>
      <c r="D109">
        <v>245415</v>
      </c>
      <c r="E109">
        <v>241281</v>
      </c>
      <c r="F109" s="169">
        <v>247837</v>
      </c>
      <c r="G109" s="169">
        <v>254669</v>
      </c>
      <c r="H109" s="169">
        <v>259563</v>
      </c>
      <c r="I109" s="169">
        <v>257890</v>
      </c>
      <c r="J109" s="169">
        <v>255132</v>
      </c>
      <c r="K109" s="169">
        <v>253271</v>
      </c>
      <c r="L109" s="169">
        <v>248795</v>
      </c>
      <c r="M109" s="169">
        <v>249555</v>
      </c>
      <c r="N109" s="169">
        <v>250852</v>
      </c>
      <c r="O109" s="169">
        <v>249795</v>
      </c>
      <c r="P109" s="169">
        <v>252357</v>
      </c>
      <c r="Q109" s="15">
        <v>257515</v>
      </c>
      <c r="R109" s="15">
        <v>252019</v>
      </c>
      <c r="S109" s="15">
        <v>246574</v>
      </c>
      <c r="T109" s="15">
        <v>250169</v>
      </c>
      <c r="U109" s="15">
        <v>247434</v>
      </c>
      <c r="V109" s="15"/>
      <c r="W109" s="15"/>
      <c r="X109" s="15"/>
      <c r="Y109" s="15"/>
      <c r="Z109" s="15"/>
    </row>
    <row r="110" spans="1:26" x14ac:dyDescent="0.3">
      <c r="A110" t="s">
        <v>3</v>
      </c>
      <c r="B110">
        <v>17</v>
      </c>
      <c r="C110">
        <v>262243</v>
      </c>
      <c r="D110">
        <v>262243</v>
      </c>
      <c r="E110">
        <v>251936</v>
      </c>
      <c r="F110" s="169">
        <v>245549</v>
      </c>
      <c r="G110" s="169">
        <v>255344</v>
      </c>
      <c r="H110" s="169">
        <v>262349</v>
      </c>
      <c r="I110" s="169">
        <v>262255</v>
      </c>
      <c r="J110" s="169">
        <v>255083</v>
      </c>
      <c r="K110" s="169">
        <v>252403</v>
      </c>
      <c r="L110" s="169">
        <v>250607</v>
      </c>
      <c r="M110" s="169">
        <v>246224</v>
      </c>
      <c r="N110" s="169">
        <v>247022</v>
      </c>
      <c r="O110" s="169">
        <v>248352</v>
      </c>
      <c r="P110" s="169">
        <v>247352</v>
      </c>
      <c r="Q110" s="15">
        <v>249905</v>
      </c>
      <c r="R110" s="15">
        <v>255013</v>
      </c>
      <c r="S110" s="15">
        <v>249570</v>
      </c>
      <c r="T110" s="15">
        <v>244178</v>
      </c>
      <c r="U110" s="15">
        <v>247738</v>
      </c>
      <c r="V110" s="15"/>
      <c r="W110" s="15"/>
      <c r="X110" s="15"/>
      <c r="Y110" s="15"/>
      <c r="Z110" s="15"/>
    </row>
    <row r="111" spans="1:26" x14ac:dyDescent="0.3">
      <c r="A111" t="s">
        <v>3</v>
      </c>
      <c r="B111">
        <v>18</v>
      </c>
      <c r="C111">
        <v>270638</v>
      </c>
      <c r="D111">
        <v>270638</v>
      </c>
      <c r="E111">
        <v>265189</v>
      </c>
      <c r="F111" s="169">
        <v>243363</v>
      </c>
      <c r="G111" s="169">
        <v>255849</v>
      </c>
      <c r="H111" s="169">
        <v>266650</v>
      </c>
      <c r="I111" s="169">
        <v>270085</v>
      </c>
      <c r="J111" s="169">
        <v>268173</v>
      </c>
      <c r="K111" s="169">
        <v>260914</v>
      </c>
      <c r="L111" s="169">
        <v>258247</v>
      </c>
      <c r="M111" s="169">
        <v>256484</v>
      </c>
      <c r="N111" s="169">
        <v>252071</v>
      </c>
      <c r="O111" s="169">
        <v>252960</v>
      </c>
      <c r="P111" s="169">
        <v>254394</v>
      </c>
      <c r="Q111" s="15">
        <v>253400</v>
      </c>
      <c r="R111" s="15">
        <v>256016</v>
      </c>
      <c r="S111" s="15">
        <v>261247</v>
      </c>
      <c r="T111" s="15">
        <v>255671</v>
      </c>
      <c r="U111" s="15">
        <v>250148</v>
      </c>
      <c r="V111" s="15"/>
      <c r="W111" s="15"/>
      <c r="X111" s="15"/>
      <c r="Y111" s="15"/>
      <c r="Z111" s="15"/>
    </row>
    <row r="112" spans="1:26" x14ac:dyDescent="0.3">
      <c r="A112" t="s">
        <v>3</v>
      </c>
      <c r="B112">
        <v>19</v>
      </c>
      <c r="C112">
        <v>290139</v>
      </c>
      <c r="D112">
        <v>290139</v>
      </c>
      <c r="E112">
        <v>282975</v>
      </c>
      <c r="F112" s="169">
        <v>265211</v>
      </c>
      <c r="G112" s="169">
        <v>273855</v>
      </c>
      <c r="H112" s="169">
        <v>286722</v>
      </c>
      <c r="I112" s="169">
        <v>292628</v>
      </c>
      <c r="J112" s="169">
        <v>288770</v>
      </c>
      <c r="K112" s="169">
        <v>286838</v>
      </c>
      <c r="L112" s="169">
        <v>279181</v>
      </c>
      <c r="M112" s="169">
        <v>276435</v>
      </c>
      <c r="N112" s="169">
        <v>274655</v>
      </c>
      <c r="O112" s="169">
        <v>270032</v>
      </c>
      <c r="P112" s="169">
        <v>271089</v>
      </c>
      <c r="Q112" s="15">
        <v>272672</v>
      </c>
      <c r="R112" s="15">
        <v>271607</v>
      </c>
      <c r="S112" s="15">
        <v>274409</v>
      </c>
      <c r="T112" s="15">
        <v>280016</v>
      </c>
      <c r="U112" s="15">
        <v>274039</v>
      </c>
      <c r="V112" s="15"/>
      <c r="W112" s="15"/>
      <c r="X112" s="15"/>
      <c r="Y112" s="15"/>
      <c r="Z112" s="15"/>
    </row>
    <row r="113" spans="1:26" x14ac:dyDescent="0.3">
      <c r="A113" t="s">
        <v>3</v>
      </c>
      <c r="B113">
        <v>20</v>
      </c>
      <c r="C113">
        <v>312628</v>
      </c>
      <c r="D113">
        <v>312628</v>
      </c>
      <c r="E113">
        <v>307652</v>
      </c>
      <c r="F113" s="169">
        <v>301042</v>
      </c>
      <c r="G113" s="169">
        <v>294879</v>
      </c>
      <c r="H113" s="169">
        <v>299892</v>
      </c>
      <c r="I113" s="169">
        <v>303696</v>
      </c>
      <c r="J113" s="169">
        <v>298728</v>
      </c>
      <c r="K113" s="169">
        <v>294927</v>
      </c>
      <c r="L113" s="169">
        <v>293091</v>
      </c>
      <c r="M113" s="169">
        <v>285400</v>
      </c>
      <c r="N113" s="169">
        <v>282725</v>
      </c>
      <c r="O113" s="169">
        <v>281035</v>
      </c>
      <c r="P113" s="169">
        <v>276432</v>
      </c>
      <c r="Q113" s="15">
        <v>277573</v>
      </c>
      <c r="R113" s="15">
        <v>279195</v>
      </c>
      <c r="S113" s="15">
        <v>278103</v>
      </c>
      <c r="T113" s="15">
        <v>280972</v>
      </c>
      <c r="U113" s="15">
        <v>286711</v>
      </c>
      <c r="V113" s="15"/>
      <c r="W113" s="15"/>
      <c r="X113" s="15"/>
      <c r="Y113" s="15"/>
      <c r="Z113" s="15"/>
    </row>
    <row r="114" spans="1:26" x14ac:dyDescent="0.3">
      <c r="A114" t="s">
        <v>3</v>
      </c>
      <c r="B114">
        <v>21</v>
      </c>
      <c r="C114">
        <v>317879</v>
      </c>
      <c r="D114">
        <v>317879</v>
      </c>
      <c r="E114">
        <v>317022</v>
      </c>
      <c r="F114" s="169">
        <v>310280</v>
      </c>
      <c r="G114" s="169">
        <v>319257</v>
      </c>
      <c r="H114" s="169">
        <v>308000</v>
      </c>
      <c r="I114" s="169">
        <v>303190</v>
      </c>
      <c r="J114" s="169">
        <v>297045</v>
      </c>
      <c r="K114" s="169">
        <v>292336</v>
      </c>
      <c r="L114" s="169">
        <v>288765</v>
      </c>
      <c r="M114" s="169">
        <v>287115</v>
      </c>
      <c r="N114" s="169">
        <v>279725</v>
      </c>
      <c r="O114" s="169">
        <v>277245</v>
      </c>
      <c r="P114" s="169">
        <v>275730</v>
      </c>
      <c r="Q114" s="15">
        <v>271279</v>
      </c>
      <c r="R114" s="15">
        <v>272399</v>
      </c>
      <c r="S114" s="15">
        <v>273990</v>
      </c>
      <c r="T114" s="15">
        <v>272919</v>
      </c>
      <c r="U114" s="15">
        <v>275732</v>
      </c>
      <c r="V114" s="15"/>
      <c r="W114" s="15"/>
      <c r="X114" s="15"/>
      <c r="Y114" s="15"/>
      <c r="Z114" s="15"/>
    </row>
    <row r="115" spans="1:26" x14ac:dyDescent="0.3">
      <c r="A115" t="s">
        <v>3</v>
      </c>
      <c r="B115">
        <v>22</v>
      </c>
      <c r="C115">
        <v>338916</v>
      </c>
      <c r="D115">
        <v>338916</v>
      </c>
      <c r="E115">
        <v>340891</v>
      </c>
      <c r="F115" s="169">
        <v>318752</v>
      </c>
      <c r="G115" s="169">
        <v>340121</v>
      </c>
      <c r="H115" s="169">
        <v>343649</v>
      </c>
      <c r="I115" s="169">
        <v>320258</v>
      </c>
      <c r="J115" s="169">
        <v>312879</v>
      </c>
      <c r="K115" s="169">
        <v>306700</v>
      </c>
      <c r="L115" s="169">
        <v>301999</v>
      </c>
      <c r="M115" s="169">
        <v>298468</v>
      </c>
      <c r="N115" s="169">
        <v>296920</v>
      </c>
      <c r="O115" s="169">
        <v>289430</v>
      </c>
      <c r="P115" s="169">
        <v>287017</v>
      </c>
      <c r="Q115" s="15">
        <v>285522</v>
      </c>
      <c r="R115" s="15">
        <v>280912</v>
      </c>
      <c r="S115" s="15">
        <v>282070</v>
      </c>
      <c r="T115" s="15">
        <v>283717</v>
      </c>
      <c r="U115" s="15">
        <v>282607</v>
      </c>
      <c r="V115" s="15"/>
      <c r="W115" s="15"/>
      <c r="X115" s="15"/>
      <c r="Y115" s="15"/>
      <c r="Z115" s="15"/>
    </row>
    <row r="116" spans="1:26" x14ac:dyDescent="0.3">
      <c r="A116" t="s">
        <v>3</v>
      </c>
      <c r="B116">
        <v>23</v>
      </c>
      <c r="C116">
        <v>364196</v>
      </c>
      <c r="D116">
        <v>364196</v>
      </c>
      <c r="E116">
        <v>366031</v>
      </c>
      <c r="F116" s="169">
        <v>344967</v>
      </c>
      <c r="G116" s="169">
        <v>350672</v>
      </c>
      <c r="H116" s="169">
        <v>367061</v>
      </c>
      <c r="I116" s="169">
        <v>357705</v>
      </c>
      <c r="J116" s="169">
        <v>349331</v>
      </c>
      <c r="K116" s="169">
        <v>341459</v>
      </c>
      <c r="L116" s="169">
        <v>334891</v>
      </c>
      <c r="M116" s="169">
        <v>329928</v>
      </c>
      <c r="N116" s="169">
        <v>326242</v>
      </c>
      <c r="O116" s="169">
        <v>324717</v>
      </c>
      <c r="P116" s="169">
        <v>316691</v>
      </c>
      <c r="Q116" s="15">
        <v>314133</v>
      </c>
      <c r="R116" s="15">
        <v>312495</v>
      </c>
      <c r="S116" s="15">
        <v>307449</v>
      </c>
      <c r="T116" s="15">
        <v>308714</v>
      </c>
      <c r="U116" s="15">
        <v>310515</v>
      </c>
      <c r="V116" s="15"/>
      <c r="W116" s="15"/>
      <c r="X116" s="15"/>
      <c r="Y116" s="15"/>
      <c r="Z116" s="15"/>
    </row>
    <row r="117" spans="1:26" x14ac:dyDescent="0.3">
      <c r="A117" t="s">
        <v>3</v>
      </c>
      <c r="B117">
        <v>24</v>
      </c>
      <c r="C117">
        <v>365263</v>
      </c>
      <c r="D117">
        <v>365263</v>
      </c>
      <c r="E117">
        <v>367629</v>
      </c>
      <c r="F117" s="169">
        <v>351644</v>
      </c>
      <c r="G117" s="169">
        <v>365411</v>
      </c>
      <c r="H117" s="169">
        <v>363849</v>
      </c>
      <c r="I117" s="169">
        <v>366954</v>
      </c>
      <c r="J117" s="169">
        <v>362237</v>
      </c>
      <c r="K117" s="169">
        <v>353931</v>
      </c>
      <c r="L117" s="169">
        <v>346128</v>
      </c>
      <c r="M117" s="169">
        <v>339638</v>
      </c>
      <c r="N117" s="169">
        <v>334770</v>
      </c>
      <c r="O117" s="169">
        <v>331193</v>
      </c>
      <c r="P117" s="169">
        <v>329808</v>
      </c>
      <c r="Q117" s="15">
        <v>321738</v>
      </c>
      <c r="R117" s="15">
        <v>319138</v>
      </c>
      <c r="S117" s="15">
        <v>317472</v>
      </c>
      <c r="T117" s="15">
        <v>312342</v>
      </c>
      <c r="U117" s="15">
        <v>313626</v>
      </c>
      <c r="V117" s="15"/>
      <c r="W117" s="15"/>
      <c r="X117" s="15"/>
      <c r="Y117" s="15"/>
      <c r="Z117" s="15"/>
    </row>
    <row r="118" spans="1:26" x14ac:dyDescent="0.3">
      <c r="A118" t="s">
        <v>3</v>
      </c>
      <c r="B118">
        <v>25</v>
      </c>
      <c r="C118">
        <v>376114</v>
      </c>
      <c r="D118">
        <v>376114</v>
      </c>
      <c r="E118">
        <v>377133</v>
      </c>
      <c r="F118" s="169">
        <v>369478</v>
      </c>
      <c r="G118" s="169">
        <v>381953</v>
      </c>
      <c r="H118" s="169">
        <v>391030</v>
      </c>
      <c r="I118" s="169">
        <v>373060</v>
      </c>
      <c r="J118" s="169">
        <v>371024</v>
      </c>
      <c r="K118" s="169">
        <v>366425</v>
      </c>
      <c r="L118" s="169">
        <v>358189</v>
      </c>
      <c r="M118" s="169">
        <v>350454</v>
      </c>
      <c r="N118" s="169">
        <v>344042</v>
      </c>
      <c r="O118" s="169">
        <v>339269</v>
      </c>
      <c r="P118" s="169">
        <v>335800</v>
      </c>
      <c r="Q118" s="15">
        <v>334475</v>
      </c>
      <c r="R118" s="15">
        <v>326290</v>
      </c>
      <c r="S118" s="15">
        <v>323653</v>
      </c>
      <c r="T118" s="15">
        <v>321962</v>
      </c>
      <c r="U118" s="15">
        <v>316757</v>
      </c>
      <c r="V118" s="15"/>
      <c r="W118" s="15"/>
      <c r="X118" s="15"/>
      <c r="Y118" s="15"/>
      <c r="Z118" s="15"/>
    </row>
    <row r="119" spans="1:26" x14ac:dyDescent="0.3">
      <c r="A119" t="s">
        <v>3</v>
      </c>
      <c r="B119">
        <v>26</v>
      </c>
      <c r="C119">
        <v>406379</v>
      </c>
      <c r="D119">
        <v>406379</v>
      </c>
      <c r="E119">
        <v>404568</v>
      </c>
      <c r="F119" s="169">
        <v>391169</v>
      </c>
      <c r="G119" s="169">
        <v>403603</v>
      </c>
      <c r="H119" s="169">
        <v>410822</v>
      </c>
      <c r="I119" s="169">
        <v>405009</v>
      </c>
      <c r="J119" s="169">
        <v>403278</v>
      </c>
      <c r="K119" s="169">
        <v>401249</v>
      </c>
      <c r="L119" s="169">
        <v>396446</v>
      </c>
      <c r="M119" s="169">
        <v>387701</v>
      </c>
      <c r="N119" s="169">
        <v>379490</v>
      </c>
      <c r="O119" s="169">
        <v>372707</v>
      </c>
      <c r="P119" s="169">
        <v>367694</v>
      </c>
      <c r="Q119" s="15">
        <v>364014</v>
      </c>
      <c r="R119" s="15">
        <v>362577</v>
      </c>
      <c r="S119" s="15">
        <v>353704</v>
      </c>
      <c r="T119" s="15">
        <v>350843</v>
      </c>
      <c r="U119" s="15">
        <v>349009</v>
      </c>
      <c r="V119" s="15"/>
      <c r="W119" s="15"/>
      <c r="X119" s="15"/>
      <c r="Y119" s="15"/>
      <c r="Z119" s="15"/>
    </row>
    <row r="120" spans="1:26" x14ac:dyDescent="0.3">
      <c r="A120" t="s">
        <v>3</v>
      </c>
      <c r="B120">
        <v>27</v>
      </c>
      <c r="C120">
        <v>429193</v>
      </c>
      <c r="D120">
        <v>429193</v>
      </c>
      <c r="E120">
        <v>425469</v>
      </c>
      <c r="F120" s="169">
        <v>404000</v>
      </c>
      <c r="G120" s="169">
        <v>423044</v>
      </c>
      <c r="H120" s="169">
        <v>431365</v>
      </c>
      <c r="I120" s="169">
        <v>422837</v>
      </c>
      <c r="J120" s="169">
        <v>420979</v>
      </c>
      <c r="K120" s="169">
        <v>419344</v>
      </c>
      <c r="L120" s="169">
        <v>417396</v>
      </c>
      <c r="M120" s="169">
        <v>412559</v>
      </c>
      <c r="N120" s="169">
        <v>403615</v>
      </c>
      <c r="O120" s="169">
        <v>395220</v>
      </c>
      <c r="P120" s="169">
        <v>388305</v>
      </c>
      <c r="Q120" s="15">
        <v>383160</v>
      </c>
      <c r="R120" s="15">
        <v>379326</v>
      </c>
      <c r="S120" s="15">
        <v>377826</v>
      </c>
      <c r="T120" s="15">
        <v>368578</v>
      </c>
      <c r="U120" s="15">
        <v>365596</v>
      </c>
      <c r="V120" s="15"/>
      <c r="W120" s="15"/>
      <c r="X120" s="15"/>
      <c r="Y120" s="15"/>
      <c r="Z120" s="15"/>
    </row>
    <row r="121" spans="1:26" x14ac:dyDescent="0.3">
      <c r="A121" t="s">
        <v>3</v>
      </c>
      <c r="B121">
        <v>28</v>
      </c>
      <c r="C121">
        <v>451291</v>
      </c>
      <c r="D121">
        <v>451291</v>
      </c>
      <c r="E121">
        <v>448449</v>
      </c>
      <c r="F121" s="169">
        <v>416218</v>
      </c>
      <c r="G121" s="169">
        <v>434256</v>
      </c>
      <c r="H121" s="169">
        <v>448742</v>
      </c>
      <c r="I121" s="169">
        <v>441425</v>
      </c>
      <c r="J121" s="169">
        <v>440280</v>
      </c>
      <c r="K121" s="169">
        <v>438498</v>
      </c>
      <c r="L121" s="169">
        <v>436947</v>
      </c>
      <c r="M121" s="169">
        <v>435068</v>
      </c>
      <c r="N121" s="169">
        <v>430176</v>
      </c>
      <c r="O121" s="169">
        <v>420995</v>
      </c>
      <c r="P121" s="169">
        <v>412383</v>
      </c>
      <c r="Q121" s="15">
        <v>405241</v>
      </c>
      <c r="R121" s="15">
        <v>399871</v>
      </c>
      <c r="S121" s="15">
        <v>395868</v>
      </c>
      <c r="T121" s="15">
        <v>394300</v>
      </c>
      <c r="U121" s="15">
        <v>384648</v>
      </c>
      <c r="V121" s="15"/>
      <c r="W121" s="15"/>
      <c r="X121" s="15"/>
      <c r="Y121" s="15"/>
      <c r="Z121" s="15"/>
    </row>
    <row r="122" spans="1:26" x14ac:dyDescent="0.3">
      <c r="A122" t="s">
        <v>3</v>
      </c>
      <c r="B122">
        <v>29</v>
      </c>
      <c r="C122">
        <v>489929</v>
      </c>
      <c r="D122">
        <v>489929</v>
      </c>
      <c r="E122">
        <v>487605</v>
      </c>
      <c r="F122" s="169">
        <v>443128</v>
      </c>
      <c r="G122" s="169">
        <v>438830</v>
      </c>
      <c r="H122" s="169">
        <v>454462</v>
      </c>
      <c r="I122" s="169">
        <v>454462</v>
      </c>
      <c r="J122" s="169">
        <v>454037</v>
      </c>
      <c r="K122" s="169">
        <v>453001</v>
      </c>
      <c r="L122" s="169">
        <v>451305</v>
      </c>
      <c r="M122" s="169">
        <v>449849</v>
      </c>
      <c r="N122" s="169">
        <v>448053</v>
      </c>
      <c r="O122" s="169">
        <v>443151</v>
      </c>
      <c r="P122" s="169">
        <v>433828</v>
      </c>
      <c r="Q122" s="15">
        <v>425021</v>
      </c>
      <c r="R122" s="15">
        <v>417659</v>
      </c>
      <c r="S122" s="15">
        <v>412123</v>
      </c>
      <c r="T122" s="15">
        <v>407997</v>
      </c>
      <c r="U122" s="15">
        <v>406377</v>
      </c>
      <c r="V122" s="15"/>
      <c r="W122" s="15"/>
      <c r="X122" s="15"/>
      <c r="Y122" s="15"/>
      <c r="Z122" s="15"/>
    </row>
    <row r="123" spans="1:26" x14ac:dyDescent="0.3">
      <c r="A123" t="s">
        <v>3</v>
      </c>
      <c r="B123">
        <v>30</v>
      </c>
      <c r="C123">
        <v>507446</v>
      </c>
      <c r="D123">
        <v>507446</v>
      </c>
      <c r="E123">
        <v>505045</v>
      </c>
      <c r="F123" s="169">
        <v>452536</v>
      </c>
      <c r="G123" s="169">
        <v>463535</v>
      </c>
      <c r="H123" s="169">
        <v>457376</v>
      </c>
      <c r="I123" s="169">
        <v>458284</v>
      </c>
      <c r="J123" s="169">
        <v>458244</v>
      </c>
      <c r="K123" s="169">
        <v>457942</v>
      </c>
      <c r="L123" s="169">
        <v>457023</v>
      </c>
      <c r="M123" s="169">
        <v>455438</v>
      </c>
      <c r="N123" s="169">
        <v>454093</v>
      </c>
      <c r="O123" s="169">
        <v>452405</v>
      </c>
      <c r="P123" s="169">
        <v>447579</v>
      </c>
      <c r="Q123" s="15">
        <v>438226</v>
      </c>
      <c r="R123" s="15">
        <v>429330</v>
      </c>
      <c r="S123" s="15">
        <v>421893</v>
      </c>
      <c r="T123" s="15">
        <v>416300</v>
      </c>
      <c r="U123" s="15">
        <v>412130</v>
      </c>
      <c r="V123" s="15"/>
      <c r="W123" s="15"/>
      <c r="X123" s="15"/>
      <c r="Y123" s="15"/>
      <c r="Z123" s="15"/>
    </row>
    <row r="124" spans="1:26" x14ac:dyDescent="0.3">
      <c r="A124" t="s">
        <v>3</v>
      </c>
      <c r="B124">
        <v>31</v>
      </c>
      <c r="C124">
        <v>509053</v>
      </c>
      <c r="D124">
        <v>509053</v>
      </c>
      <c r="E124">
        <v>506683</v>
      </c>
      <c r="F124" s="169">
        <v>485017</v>
      </c>
      <c r="G124" s="169">
        <v>472224</v>
      </c>
      <c r="H124" s="169">
        <v>480523</v>
      </c>
      <c r="I124" s="169">
        <v>460903</v>
      </c>
      <c r="J124" s="169">
        <v>461873</v>
      </c>
      <c r="K124" s="169">
        <v>461948</v>
      </c>
      <c r="L124" s="169">
        <v>461757</v>
      </c>
      <c r="M124" s="169">
        <v>460944</v>
      </c>
      <c r="N124" s="169">
        <v>459457</v>
      </c>
      <c r="O124" s="169">
        <v>458212</v>
      </c>
      <c r="P124" s="169">
        <v>456620</v>
      </c>
      <c r="Q124" s="15">
        <v>451807</v>
      </c>
      <c r="R124" s="15">
        <v>442368</v>
      </c>
      <c r="S124" s="15">
        <v>433388</v>
      </c>
      <c r="T124" s="15">
        <v>425881</v>
      </c>
      <c r="U124" s="15">
        <v>420234</v>
      </c>
      <c r="V124" s="15"/>
      <c r="W124" s="15"/>
      <c r="X124" s="15"/>
      <c r="Y124" s="15"/>
      <c r="Z124" s="15"/>
    </row>
    <row r="125" spans="1:26" x14ac:dyDescent="0.3">
      <c r="A125" t="s">
        <v>3</v>
      </c>
      <c r="B125">
        <v>32</v>
      </c>
      <c r="C125">
        <v>523001</v>
      </c>
      <c r="D125">
        <v>523001</v>
      </c>
      <c r="E125">
        <v>520950</v>
      </c>
      <c r="F125" s="169">
        <v>507427</v>
      </c>
      <c r="G125" s="169">
        <v>504536</v>
      </c>
      <c r="H125" s="169">
        <v>487368</v>
      </c>
      <c r="I125" s="169">
        <v>482984</v>
      </c>
      <c r="J125" s="169">
        <v>483854</v>
      </c>
      <c r="K125" s="169">
        <v>484978</v>
      </c>
      <c r="L125" s="169">
        <v>485162</v>
      </c>
      <c r="M125" s="169">
        <v>485067</v>
      </c>
      <c r="N125" s="169">
        <v>484316</v>
      </c>
      <c r="O125" s="169">
        <v>482859</v>
      </c>
      <c r="P125" s="169">
        <v>481653</v>
      </c>
      <c r="Q125" s="15">
        <v>480036</v>
      </c>
      <c r="R125" s="15">
        <v>474977</v>
      </c>
      <c r="S125" s="15">
        <v>465054</v>
      </c>
      <c r="T125" s="15">
        <v>455614</v>
      </c>
      <c r="U125" s="15">
        <v>447721</v>
      </c>
      <c r="V125" s="15"/>
      <c r="W125" s="15"/>
      <c r="X125" s="15"/>
      <c r="Y125" s="15"/>
      <c r="Z125" s="15"/>
    </row>
    <row r="126" spans="1:26" x14ac:dyDescent="0.3">
      <c r="A126" t="s">
        <v>3</v>
      </c>
      <c r="B126">
        <v>33</v>
      </c>
      <c r="C126">
        <v>513655</v>
      </c>
      <c r="D126">
        <v>513655</v>
      </c>
      <c r="E126">
        <v>512168</v>
      </c>
      <c r="F126" s="169">
        <v>509295</v>
      </c>
      <c r="G126" s="169">
        <v>524665</v>
      </c>
      <c r="H126" s="169">
        <v>519604</v>
      </c>
      <c r="I126" s="169">
        <v>487664</v>
      </c>
      <c r="J126" s="169">
        <v>486155</v>
      </c>
      <c r="K126" s="169">
        <v>487124</v>
      </c>
      <c r="L126" s="169">
        <v>488349</v>
      </c>
      <c r="M126" s="169">
        <v>488627</v>
      </c>
      <c r="N126" s="169">
        <v>488623</v>
      </c>
      <c r="O126" s="169">
        <v>487959</v>
      </c>
      <c r="P126" s="169">
        <v>486584</v>
      </c>
      <c r="Q126" s="15">
        <v>485418</v>
      </c>
      <c r="R126" s="15">
        <v>483789</v>
      </c>
      <c r="S126" s="15">
        <v>478692</v>
      </c>
      <c r="T126" s="15">
        <v>468692</v>
      </c>
      <c r="U126" s="15">
        <v>459177</v>
      </c>
      <c r="V126" s="15"/>
      <c r="W126" s="15"/>
      <c r="X126" s="15"/>
      <c r="Y126" s="15"/>
      <c r="Z126" s="15"/>
    </row>
    <row r="127" spans="1:26" x14ac:dyDescent="0.3">
      <c r="A127" t="s">
        <v>3</v>
      </c>
      <c r="B127">
        <v>34</v>
      </c>
      <c r="C127">
        <v>521786</v>
      </c>
      <c r="D127">
        <v>521786</v>
      </c>
      <c r="E127">
        <v>520568</v>
      </c>
      <c r="F127" s="169">
        <v>513231</v>
      </c>
      <c r="G127" s="169">
        <v>522176</v>
      </c>
      <c r="H127" s="169">
        <v>535417</v>
      </c>
      <c r="I127" s="169">
        <v>516160</v>
      </c>
      <c r="J127" s="169">
        <v>511024</v>
      </c>
      <c r="K127" s="169">
        <v>509528</v>
      </c>
      <c r="L127" s="169">
        <v>510628</v>
      </c>
      <c r="M127" s="169">
        <v>511997</v>
      </c>
      <c r="N127" s="169">
        <v>512373</v>
      </c>
      <c r="O127" s="169">
        <v>512454</v>
      </c>
      <c r="P127" s="169">
        <v>511841</v>
      </c>
      <c r="Q127" s="15">
        <v>510445</v>
      </c>
      <c r="R127" s="15">
        <v>509223</v>
      </c>
      <c r="S127" s="15">
        <v>507517</v>
      </c>
      <c r="T127" s="15">
        <v>502170</v>
      </c>
      <c r="U127" s="15">
        <v>491679</v>
      </c>
      <c r="V127" s="15"/>
      <c r="W127" s="15"/>
      <c r="X127" s="15"/>
      <c r="Y127" s="15"/>
      <c r="Z127" s="15"/>
    </row>
    <row r="128" spans="1:26" x14ac:dyDescent="0.3">
      <c r="A128" t="s">
        <v>3</v>
      </c>
      <c r="B128">
        <v>35</v>
      </c>
      <c r="C128">
        <v>550103</v>
      </c>
      <c r="D128">
        <v>550103</v>
      </c>
      <c r="E128">
        <v>551501</v>
      </c>
      <c r="F128" s="169">
        <v>515377</v>
      </c>
      <c r="G128" s="169">
        <v>525770</v>
      </c>
      <c r="H128" s="169">
        <v>533166</v>
      </c>
      <c r="I128" s="169">
        <v>532285</v>
      </c>
      <c r="J128" s="169">
        <v>524602</v>
      </c>
      <c r="K128" s="169">
        <v>519460</v>
      </c>
      <c r="L128" s="169">
        <v>518016</v>
      </c>
      <c r="M128" s="169">
        <v>519210</v>
      </c>
      <c r="N128" s="169">
        <v>520678</v>
      </c>
      <c r="O128" s="169">
        <v>521137</v>
      </c>
      <c r="P128" s="169">
        <v>521295</v>
      </c>
      <c r="Q128" s="15">
        <v>520714</v>
      </c>
      <c r="R128" s="15">
        <v>519299</v>
      </c>
      <c r="S128" s="15">
        <v>518058</v>
      </c>
      <c r="T128" s="15">
        <v>516326</v>
      </c>
      <c r="U128" s="15">
        <v>510889</v>
      </c>
      <c r="V128" s="15"/>
      <c r="W128" s="15"/>
      <c r="X128" s="15"/>
      <c r="Y128" s="15"/>
      <c r="Z128" s="15"/>
    </row>
    <row r="129" spans="1:26" x14ac:dyDescent="0.3">
      <c r="A129" t="s">
        <v>3</v>
      </c>
      <c r="B129">
        <v>36</v>
      </c>
      <c r="C129">
        <v>561399</v>
      </c>
      <c r="D129">
        <v>561399</v>
      </c>
      <c r="E129">
        <v>566727</v>
      </c>
      <c r="F129" s="169">
        <v>502493</v>
      </c>
      <c r="G129" s="169">
        <v>526805</v>
      </c>
      <c r="H129" s="169">
        <v>535774</v>
      </c>
      <c r="I129" s="169">
        <v>530241</v>
      </c>
      <c r="J129" s="169">
        <v>522394</v>
      </c>
      <c r="K129" s="169">
        <v>514923</v>
      </c>
      <c r="L129" s="169">
        <v>509943</v>
      </c>
      <c r="M129" s="169">
        <v>508591</v>
      </c>
      <c r="N129" s="169">
        <v>509829</v>
      </c>
      <c r="O129" s="169">
        <v>511340</v>
      </c>
      <c r="P129" s="169">
        <v>511854</v>
      </c>
      <c r="Q129" s="15">
        <v>512050</v>
      </c>
      <c r="R129" s="15">
        <v>511485</v>
      </c>
      <c r="S129" s="15">
        <v>510100</v>
      </c>
      <c r="T129" s="15">
        <v>508887</v>
      </c>
      <c r="U129" s="15">
        <v>507190</v>
      </c>
      <c r="V129" s="15"/>
      <c r="W129" s="15"/>
      <c r="X129" s="15"/>
      <c r="Y129" s="15"/>
      <c r="Z129" s="15"/>
    </row>
    <row r="130" spans="1:26" x14ac:dyDescent="0.3">
      <c r="A130" t="s">
        <v>3</v>
      </c>
      <c r="B130">
        <v>37</v>
      </c>
      <c r="C130">
        <v>520984</v>
      </c>
      <c r="D130">
        <v>520984</v>
      </c>
      <c r="E130">
        <v>528671</v>
      </c>
      <c r="F130" s="169">
        <v>524558</v>
      </c>
      <c r="G130" s="169">
        <v>513152</v>
      </c>
      <c r="H130" s="169">
        <v>536843</v>
      </c>
      <c r="I130" s="169">
        <v>533242</v>
      </c>
      <c r="J130" s="169">
        <v>527056</v>
      </c>
      <c r="K130" s="169">
        <v>519315</v>
      </c>
      <c r="L130" s="169">
        <v>511947</v>
      </c>
      <c r="M130" s="169">
        <v>507054</v>
      </c>
      <c r="N130" s="169">
        <v>505768</v>
      </c>
      <c r="O130" s="169">
        <v>507057</v>
      </c>
      <c r="P130" s="169">
        <v>508616</v>
      </c>
      <c r="Q130" s="15">
        <v>509162</v>
      </c>
      <c r="R130" s="15">
        <v>509364</v>
      </c>
      <c r="S130" s="15">
        <v>508807</v>
      </c>
      <c r="T130" s="15">
        <v>507434</v>
      </c>
      <c r="U130" s="15">
        <v>506233</v>
      </c>
      <c r="V130" s="15"/>
      <c r="W130" s="15"/>
      <c r="X130" s="15"/>
      <c r="Y130" s="15"/>
      <c r="Z130" s="15"/>
    </row>
    <row r="131" spans="1:26" x14ac:dyDescent="0.3">
      <c r="A131" t="s">
        <v>3</v>
      </c>
      <c r="B131">
        <v>38</v>
      </c>
      <c r="C131">
        <v>507405</v>
      </c>
      <c r="D131">
        <v>507405</v>
      </c>
      <c r="E131">
        <v>515150</v>
      </c>
      <c r="F131" s="169">
        <v>545440</v>
      </c>
      <c r="G131" s="169">
        <v>534322</v>
      </c>
      <c r="H131" s="169">
        <v>522252</v>
      </c>
      <c r="I131" s="169">
        <v>532997</v>
      </c>
      <c r="J131" s="169">
        <v>528615</v>
      </c>
      <c r="K131" s="169">
        <v>522536</v>
      </c>
      <c r="L131" s="169">
        <v>514913</v>
      </c>
      <c r="M131" s="169">
        <v>507659</v>
      </c>
      <c r="N131" s="169">
        <v>502856</v>
      </c>
      <c r="O131" s="169">
        <v>501630</v>
      </c>
      <c r="P131" s="169">
        <v>502958</v>
      </c>
      <c r="Q131" s="15">
        <v>504535</v>
      </c>
      <c r="R131" s="15">
        <v>505084</v>
      </c>
      <c r="S131" s="15">
        <v>505290</v>
      </c>
      <c r="T131" s="15">
        <v>504745</v>
      </c>
      <c r="U131" s="15">
        <v>503387</v>
      </c>
      <c r="V131" s="15"/>
      <c r="W131" s="15"/>
      <c r="X131" s="15"/>
      <c r="Y131" s="15"/>
      <c r="Z131" s="15"/>
    </row>
    <row r="132" spans="1:26" x14ac:dyDescent="0.3">
      <c r="A132" t="s">
        <v>3</v>
      </c>
      <c r="B132">
        <v>39</v>
      </c>
      <c r="C132">
        <v>478290</v>
      </c>
      <c r="D132">
        <v>478290</v>
      </c>
      <c r="E132">
        <v>485880</v>
      </c>
      <c r="F132" s="169">
        <v>535284</v>
      </c>
      <c r="G132" s="169">
        <v>552093</v>
      </c>
      <c r="H132" s="169">
        <v>539056</v>
      </c>
      <c r="I132" s="169">
        <v>516191</v>
      </c>
      <c r="J132" s="169">
        <v>514404</v>
      </c>
      <c r="K132" s="169">
        <v>510220</v>
      </c>
      <c r="L132" s="169">
        <v>504398</v>
      </c>
      <c r="M132" s="169">
        <v>497084</v>
      </c>
      <c r="N132" s="169">
        <v>490123</v>
      </c>
      <c r="O132" s="169">
        <v>485529</v>
      </c>
      <c r="P132" s="169">
        <v>484387</v>
      </c>
      <c r="Q132" s="15">
        <v>485697</v>
      </c>
      <c r="R132" s="15">
        <v>487227</v>
      </c>
      <c r="S132" s="15">
        <v>487763</v>
      </c>
      <c r="T132" s="15">
        <v>487968</v>
      </c>
      <c r="U132" s="15">
        <v>487448</v>
      </c>
      <c r="V132" s="15"/>
      <c r="W132" s="15"/>
      <c r="X132" s="15"/>
      <c r="Y132" s="15"/>
      <c r="Z132" s="15"/>
    </row>
    <row r="133" spans="1:26" x14ac:dyDescent="0.3">
      <c r="A133" t="s">
        <v>3</v>
      </c>
      <c r="B133">
        <v>40</v>
      </c>
      <c r="C133">
        <v>454757</v>
      </c>
      <c r="D133">
        <v>454757</v>
      </c>
      <c r="E133">
        <v>463494</v>
      </c>
      <c r="F133" s="169">
        <v>491972</v>
      </c>
      <c r="G133" s="169">
        <v>540470</v>
      </c>
      <c r="H133" s="169">
        <v>557646</v>
      </c>
      <c r="I133" s="169">
        <v>532330</v>
      </c>
      <c r="J133" s="169">
        <v>532697</v>
      </c>
      <c r="K133" s="169">
        <v>530899</v>
      </c>
      <c r="L133" s="169">
        <v>526624</v>
      </c>
      <c r="M133" s="169">
        <v>520659</v>
      </c>
      <c r="N133" s="169">
        <v>513153</v>
      </c>
      <c r="O133" s="169">
        <v>506009</v>
      </c>
      <c r="P133" s="169">
        <v>501308</v>
      </c>
      <c r="Q133" s="15">
        <v>500155</v>
      </c>
      <c r="R133" s="15">
        <v>501520</v>
      </c>
      <c r="S133" s="15">
        <v>503109</v>
      </c>
      <c r="T133" s="15">
        <v>503672</v>
      </c>
      <c r="U133" s="15">
        <v>503892</v>
      </c>
      <c r="V133" s="15"/>
      <c r="W133" s="15"/>
      <c r="X133" s="15"/>
      <c r="Y133" s="15"/>
      <c r="Z133" s="15"/>
    </row>
    <row r="134" spans="1:26" x14ac:dyDescent="0.3">
      <c r="A134" t="s">
        <v>3</v>
      </c>
      <c r="B134">
        <v>41</v>
      </c>
      <c r="C134">
        <v>420415</v>
      </c>
      <c r="D134">
        <v>420415</v>
      </c>
      <c r="E134">
        <v>430171</v>
      </c>
      <c r="F134" s="169">
        <v>474832</v>
      </c>
      <c r="G134" s="169">
        <v>497330</v>
      </c>
      <c r="H134" s="169">
        <v>546423</v>
      </c>
      <c r="I134" s="169">
        <v>552186</v>
      </c>
      <c r="J134" s="169">
        <v>552676</v>
      </c>
      <c r="K134" s="169">
        <v>553104</v>
      </c>
      <c r="L134" s="169">
        <v>551282</v>
      </c>
      <c r="M134" s="169">
        <v>546888</v>
      </c>
      <c r="N134" s="169">
        <v>540739</v>
      </c>
      <c r="O134" s="169">
        <v>532985</v>
      </c>
      <c r="P134" s="169">
        <v>525608</v>
      </c>
      <c r="Q134" s="15">
        <v>520752</v>
      </c>
      <c r="R134" s="15">
        <v>519569</v>
      </c>
      <c r="S134" s="15">
        <v>521001</v>
      </c>
      <c r="T134" s="15">
        <v>522664</v>
      </c>
      <c r="U134" s="15">
        <v>523262</v>
      </c>
      <c r="V134" s="15"/>
      <c r="W134" s="15"/>
      <c r="X134" s="15"/>
      <c r="Y134" s="15"/>
      <c r="Z134" s="15"/>
    </row>
    <row r="135" spans="1:26" x14ac:dyDescent="0.3">
      <c r="A135" t="s">
        <v>3</v>
      </c>
      <c r="B135">
        <v>42</v>
      </c>
      <c r="C135">
        <v>399305</v>
      </c>
      <c r="D135">
        <v>399305</v>
      </c>
      <c r="E135">
        <v>409620</v>
      </c>
      <c r="F135" s="169">
        <v>444748</v>
      </c>
      <c r="G135" s="169">
        <v>480247</v>
      </c>
      <c r="H135" s="169">
        <v>504452</v>
      </c>
      <c r="I135" s="169">
        <v>542033</v>
      </c>
      <c r="J135" s="169">
        <v>543589</v>
      </c>
      <c r="K135" s="169">
        <v>544112</v>
      </c>
      <c r="L135" s="169">
        <v>544574</v>
      </c>
      <c r="M135" s="169">
        <v>542821</v>
      </c>
      <c r="N135" s="169">
        <v>538535</v>
      </c>
      <c r="O135" s="169">
        <v>532519</v>
      </c>
      <c r="P135" s="169">
        <v>524921</v>
      </c>
      <c r="Q135" s="15">
        <v>517681</v>
      </c>
      <c r="R135" s="15">
        <v>512914</v>
      </c>
      <c r="S135" s="15">
        <v>511762</v>
      </c>
      <c r="T135" s="15">
        <v>513185</v>
      </c>
      <c r="U135" s="15">
        <v>514836</v>
      </c>
      <c r="V135" s="15"/>
      <c r="W135" s="15"/>
      <c r="X135" s="15"/>
      <c r="Y135" s="15"/>
      <c r="Z135" s="15"/>
    </row>
    <row r="136" spans="1:26" x14ac:dyDescent="0.3">
      <c r="A136" t="s">
        <v>3</v>
      </c>
      <c r="B136">
        <v>43</v>
      </c>
      <c r="C136">
        <v>383712</v>
      </c>
      <c r="D136">
        <v>383712</v>
      </c>
      <c r="E136">
        <v>394023</v>
      </c>
      <c r="F136" s="169">
        <v>424560</v>
      </c>
      <c r="G136" s="169">
        <v>450180</v>
      </c>
      <c r="H136" s="169">
        <v>486044</v>
      </c>
      <c r="I136" s="169">
        <v>500088</v>
      </c>
      <c r="J136" s="169">
        <v>505480</v>
      </c>
      <c r="K136" s="169">
        <v>506968</v>
      </c>
      <c r="L136" s="169">
        <v>507490</v>
      </c>
      <c r="M136" s="169">
        <v>507955</v>
      </c>
      <c r="N136" s="169">
        <v>506356</v>
      </c>
      <c r="O136" s="169">
        <v>502390</v>
      </c>
      <c r="P136" s="169">
        <v>496811</v>
      </c>
      <c r="Q136" s="15">
        <v>489748</v>
      </c>
      <c r="R136" s="15">
        <v>483005</v>
      </c>
      <c r="S136" s="15">
        <v>478571</v>
      </c>
      <c r="T136" s="15">
        <v>477509</v>
      </c>
      <c r="U136" s="15">
        <v>478847</v>
      </c>
      <c r="V136" s="15"/>
      <c r="W136" s="15"/>
      <c r="X136" s="15"/>
      <c r="Y136" s="15"/>
      <c r="Z136" s="15"/>
    </row>
    <row r="137" spans="1:26" x14ac:dyDescent="0.3">
      <c r="A137" t="s">
        <v>3</v>
      </c>
      <c r="B137">
        <v>44</v>
      </c>
      <c r="C137">
        <v>359786</v>
      </c>
      <c r="D137">
        <v>359786</v>
      </c>
      <c r="E137">
        <v>370267</v>
      </c>
      <c r="F137" s="169">
        <v>392634</v>
      </c>
      <c r="G137" s="169">
        <v>424535</v>
      </c>
      <c r="H137" s="169">
        <v>451131</v>
      </c>
      <c r="I137" s="169">
        <v>477596</v>
      </c>
      <c r="J137" s="169">
        <v>487654</v>
      </c>
      <c r="K137" s="169">
        <v>492945</v>
      </c>
      <c r="L137" s="169">
        <v>494428</v>
      </c>
      <c r="M137" s="169">
        <v>494968</v>
      </c>
      <c r="N137" s="169">
        <v>495454</v>
      </c>
      <c r="O137" s="169">
        <v>493924</v>
      </c>
      <c r="P137" s="169">
        <v>490085</v>
      </c>
      <c r="Q137" s="15">
        <v>484665</v>
      </c>
      <c r="R137" s="15">
        <v>477788</v>
      </c>
      <c r="S137" s="15">
        <v>471223</v>
      </c>
      <c r="T137" s="15">
        <v>466910</v>
      </c>
      <c r="U137" s="15">
        <v>465885</v>
      </c>
      <c r="V137" s="15"/>
      <c r="W137" s="15"/>
      <c r="X137" s="15"/>
      <c r="Y137" s="15"/>
      <c r="Z137" s="15"/>
    </row>
    <row r="138" spans="1:26" x14ac:dyDescent="0.3">
      <c r="A138" t="s">
        <v>3</v>
      </c>
      <c r="B138">
        <v>45</v>
      </c>
      <c r="C138">
        <v>350775</v>
      </c>
      <c r="D138">
        <v>350775</v>
      </c>
      <c r="E138">
        <v>359021</v>
      </c>
      <c r="F138" s="169">
        <v>365252</v>
      </c>
      <c r="G138" s="169">
        <v>391666</v>
      </c>
      <c r="H138" s="169">
        <v>425924</v>
      </c>
      <c r="I138" s="169">
        <v>444234</v>
      </c>
      <c r="J138" s="169">
        <v>456987</v>
      </c>
      <c r="K138" s="169">
        <v>466644</v>
      </c>
      <c r="L138" s="169">
        <v>471737</v>
      </c>
      <c r="M138" s="169">
        <v>473188</v>
      </c>
      <c r="N138" s="169">
        <v>473736</v>
      </c>
      <c r="O138" s="169">
        <v>474232</v>
      </c>
      <c r="P138" s="169">
        <v>472798</v>
      </c>
      <c r="Q138" s="15">
        <v>469148</v>
      </c>
      <c r="R138" s="15">
        <v>463975</v>
      </c>
      <c r="S138" s="15">
        <v>457407</v>
      </c>
      <c r="T138" s="15">
        <v>451136</v>
      </c>
      <c r="U138" s="15">
        <v>447021</v>
      </c>
      <c r="V138" s="15"/>
      <c r="W138" s="15"/>
      <c r="X138" s="15"/>
      <c r="Y138" s="15"/>
      <c r="Z138" s="15"/>
    </row>
    <row r="139" spans="1:26" x14ac:dyDescent="0.3">
      <c r="A139" t="s">
        <v>3</v>
      </c>
      <c r="B139">
        <v>46</v>
      </c>
      <c r="C139">
        <v>339252</v>
      </c>
      <c r="D139">
        <v>339252</v>
      </c>
      <c r="E139">
        <v>343816</v>
      </c>
      <c r="F139" s="169">
        <v>354135</v>
      </c>
      <c r="G139" s="169">
        <v>367415</v>
      </c>
      <c r="H139" s="169">
        <v>394457</v>
      </c>
      <c r="I139" s="169">
        <v>422066</v>
      </c>
      <c r="J139" s="169">
        <v>436119</v>
      </c>
      <c r="K139" s="169">
        <v>448672</v>
      </c>
      <c r="L139" s="169">
        <v>458186</v>
      </c>
      <c r="M139" s="169">
        <v>463219</v>
      </c>
      <c r="N139" s="169">
        <v>464675</v>
      </c>
      <c r="O139" s="169">
        <v>465246</v>
      </c>
      <c r="P139" s="169">
        <v>465764</v>
      </c>
      <c r="Q139" s="15">
        <v>464381</v>
      </c>
      <c r="R139" s="15">
        <v>460814</v>
      </c>
      <c r="S139" s="15">
        <v>455752</v>
      </c>
      <c r="T139" s="15">
        <v>449318</v>
      </c>
      <c r="U139" s="15">
        <v>443174</v>
      </c>
      <c r="V139" s="15"/>
      <c r="W139" s="15"/>
      <c r="X139" s="15"/>
      <c r="Y139" s="15"/>
      <c r="Z139" s="15"/>
    </row>
    <row r="140" spans="1:26" x14ac:dyDescent="0.3">
      <c r="A140" t="s">
        <v>3</v>
      </c>
      <c r="B140">
        <v>47</v>
      </c>
      <c r="C140">
        <v>331992</v>
      </c>
      <c r="D140">
        <v>331992</v>
      </c>
      <c r="E140">
        <v>334287</v>
      </c>
      <c r="F140" s="169">
        <v>332394</v>
      </c>
      <c r="G140" s="169">
        <v>356559</v>
      </c>
      <c r="H140" s="169">
        <v>370726</v>
      </c>
      <c r="I140" s="169">
        <v>391960</v>
      </c>
      <c r="J140" s="169">
        <v>404827</v>
      </c>
      <c r="K140" s="169">
        <v>418335</v>
      </c>
      <c r="L140" s="169">
        <v>430405</v>
      </c>
      <c r="M140" s="169">
        <v>439562</v>
      </c>
      <c r="N140" s="169">
        <v>444419</v>
      </c>
      <c r="O140" s="169">
        <v>445846</v>
      </c>
      <c r="P140" s="169">
        <v>446422</v>
      </c>
      <c r="Q140" s="15">
        <v>446942</v>
      </c>
      <c r="R140" s="15">
        <v>445633</v>
      </c>
      <c r="S140" s="15">
        <v>442229</v>
      </c>
      <c r="T140" s="15">
        <v>437387</v>
      </c>
      <c r="U140" s="15">
        <v>431229</v>
      </c>
      <c r="V140" s="15"/>
      <c r="W140" s="15"/>
      <c r="X140" s="15"/>
      <c r="Y140" s="15"/>
      <c r="Z140" s="15"/>
    </row>
    <row r="141" spans="1:26" x14ac:dyDescent="0.3">
      <c r="A141" t="s">
        <v>3</v>
      </c>
      <c r="B141">
        <v>48</v>
      </c>
      <c r="C141">
        <v>317374</v>
      </c>
      <c r="D141">
        <v>317374</v>
      </c>
      <c r="E141">
        <v>319885</v>
      </c>
      <c r="F141" s="169">
        <v>333040</v>
      </c>
      <c r="G141" s="169">
        <v>334516</v>
      </c>
      <c r="H141" s="169">
        <v>359478</v>
      </c>
      <c r="I141" s="169">
        <v>368463</v>
      </c>
      <c r="J141" s="169">
        <v>378977</v>
      </c>
      <c r="K141" s="169">
        <v>391445</v>
      </c>
      <c r="L141" s="169">
        <v>404532</v>
      </c>
      <c r="M141" s="169">
        <v>416231</v>
      </c>
      <c r="N141" s="169">
        <v>425114</v>
      </c>
      <c r="O141" s="169">
        <v>429836</v>
      </c>
      <c r="P141" s="169">
        <v>431242</v>
      </c>
      <c r="Q141" s="15">
        <v>431822</v>
      </c>
      <c r="R141" s="15">
        <v>432343</v>
      </c>
      <c r="S141" s="15">
        <v>431095</v>
      </c>
      <c r="T141" s="15">
        <v>427818</v>
      </c>
      <c r="U141" s="15">
        <v>423150</v>
      </c>
      <c r="V141" s="15"/>
      <c r="W141" s="15"/>
      <c r="X141" s="15"/>
      <c r="Y141" s="15"/>
      <c r="Z141" s="15"/>
    </row>
    <row r="142" spans="1:26" x14ac:dyDescent="0.3">
      <c r="A142" t="s">
        <v>3</v>
      </c>
      <c r="B142">
        <v>49</v>
      </c>
      <c r="C142">
        <v>308562</v>
      </c>
      <c r="D142">
        <v>308562</v>
      </c>
      <c r="E142">
        <v>310902</v>
      </c>
      <c r="F142" s="169">
        <v>316917</v>
      </c>
      <c r="G142" s="169">
        <v>331669</v>
      </c>
      <c r="H142" s="169">
        <v>334434</v>
      </c>
      <c r="I142" s="169">
        <v>354655</v>
      </c>
      <c r="J142" s="169">
        <v>361898</v>
      </c>
      <c r="K142" s="169">
        <v>372249</v>
      </c>
      <c r="L142" s="169">
        <v>384520</v>
      </c>
      <c r="M142" s="169">
        <v>397399</v>
      </c>
      <c r="N142" s="169">
        <v>408917</v>
      </c>
      <c r="O142" s="169">
        <v>417669</v>
      </c>
      <c r="P142" s="169">
        <v>422333</v>
      </c>
      <c r="Q142" s="15">
        <v>423736</v>
      </c>
      <c r="R142" s="15">
        <v>424323</v>
      </c>
      <c r="S142" s="15">
        <v>424852</v>
      </c>
      <c r="T142" s="15">
        <v>423642</v>
      </c>
      <c r="U142" s="15">
        <v>420438</v>
      </c>
      <c r="V142" s="15"/>
      <c r="W142" s="15"/>
      <c r="X142" s="15"/>
      <c r="Y142" s="15"/>
      <c r="Z142" s="15"/>
    </row>
    <row r="143" spans="1:26" x14ac:dyDescent="0.3">
      <c r="A143" t="s">
        <v>3</v>
      </c>
      <c r="B143">
        <v>50</v>
      </c>
      <c r="C143">
        <v>302397</v>
      </c>
      <c r="D143">
        <v>302397</v>
      </c>
      <c r="E143">
        <v>305166</v>
      </c>
      <c r="F143" s="169">
        <v>303384</v>
      </c>
      <c r="G143" s="169">
        <v>314284</v>
      </c>
      <c r="H143" s="169">
        <v>331070</v>
      </c>
      <c r="I143" s="169">
        <v>329792</v>
      </c>
      <c r="J143" s="169">
        <v>334211</v>
      </c>
      <c r="K143" s="169">
        <v>341062</v>
      </c>
      <c r="L143" s="169">
        <v>350843</v>
      </c>
      <c r="M143" s="169">
        <v>362435</v>
      </c>
      <c r="N143" s="169">
        <v>374601</v>
      </c>
      <c r="O143" s="169">
        <v>385484</v>
      </c>
      <c r="P143" s="169">
        <v>393760</v>
      </c>
      <c r="Q143" s="15">
        <v>398181</v>
      </c>
      <c r="R143" s="15">
        <v>399525</v>
      </c>
      <c r="S143" s="15">
        <v>400100</v>
      </c>
      <c r="T143" s="15">
        <v>400617</v>
      </c>
      <c r="U143" s="15">
        <v>399495</v>
      </c>
      <c r="V143" s="15"/>
      <c r="W143" s="15"/>
      <c r="X143" s="15"/>
      <c r="Y143" s="15"/>
      <c r="Z143" s="15"/>
    </row>
    <row r="144" spans="1:26" x14ac:dyDescent="0.3">
      <c r="A144" t="s">
        <v>3</v>
      </c>
      <c r="B144">
        <v>51</v>
      </c>
      <c r="C144">
        <v>300855</v>
      </c>
      <c r="D144">
        <v>300855</v>
      </c>
      <c r="E144">
        <v>304621</v>
      </c>
      <c r="F144" s="169">
        <v>290185</v>
      </c>
      <c r="G144" s="169">
        <v>302292</v>
      </c>
      <c r="H144" s="169">
        <v>315189</v>
      </c>
      <c r="I144" s="169">
        <v>328188</v>
      </c>
      <c r="J144" s="169">
        <v>332289</v>
      </c>
      <c r="K144" s="169">
        <v>336769</v>
      </c>
      <c r="L144" s="169">
        <v>343702</v>
      </c>
      <c r="M144" s="169">
        <v>353587</v>
      </c>
      <c r="N144" s="169">
        <v>365298</v>
      </c>
      <c r="O144" s="169">
        <v>377590</v>
      </c>
      <c r="P144" s="169">
        <v>388590</v>
      </c>
      <c r="Q144" s="15">
        <v>396961</v>
      </c>
      <c r="R144" s="15">
        <v>401443</v>
      </c>
      <c r="S144" s="15">
        <v>402823</v>
      </c>
      <c r="T144" s="15">
        <v>403426</v>
      </c>
      <c r="U144" s="15">
        <v>403971</v>
      </c>
      <c r="V144" s="15"/>
      <c r="W144" s="15"/>
      <c r="X144" s="15"/>
      <c r="Y144" s="15"/>
      <c r="Z144" s="15"/>
    </row>
    <row r="145" spans="1:26" x14ac:dyDescent="0.3">
      <c r="A145" t="s">
        <v>3</v>
      </c>
      <c r="B145">
        <v>52</v>
      </c>
      <c r="C145">
        <v>302570</v>
      </c>
      <c r="D145">
        <v>302570</v>
      </c>
      <c r="E145">
        <v>307170</v>
      </c>
      <c r="F145" s="169">
        <v>289020</v>
      </c>
      <c r="G145" s="169">
        <v>289392</v>
      </c>
      <c r="H145" s="169">
        <v>303353</v>
      </c>
      <c r="I145" s="169">
        <v>313138</v>
      </c>
      <c r="J145" s="169">
        <v>317627</v>
      </c>
      <c r="K145" s="169">
        <v>321623</v>
      </c>
      <c r="L145" s="169">
        <v>325985</v>
      </c>
      <c r="M145" s="169">
        <v>332722</v>
      </c>
      <c r="N145" s="169">
        <v>342318</v>
      </c>
      <c r="O145" s="169">
        <v>353683</v>
      </c>
      <c r="P145" s="169">
        <v>365610</v>
      </c>
      <c r="Q145" s="15">
        <v>376287</v>
      </c>
      <c r="R145" s="15">
        <v>384419</v>
      </c>
      <c r="S145" s="15">
        <v>388782</v>
      </c>
      <c r="T145" s="15">
        <v>390143</v>
      </c>
      <c r="U145" s="15">
        <v>390749</v>
      </c>
      <c r="V145" s="15"/>
      <c r="W145" s="15"/>
      <c r="X145" s="15"/>
      <c r="Y145" s="15"/>
      <c r="Z145" s="15"/>
    </row>
    <row r="146" spans="1:26" x14ac:dyDescent="0.3">
      <c r="A146" t="s">
        <v>3</v>
      </c>
      <c r="B146">
        <v>53</v>
      </c>
      <c r="C146">
        <v>302333</v>
      </c>
      <c r="D146">
        <v>302333</v>
      </c>
      <c r="E146">
        <v>306750</v>
      </c>
      <c r="F146" s="169">
        <v>285954</v>
      </c>
      <c r="G146" s="169">
        <v>288189</v>
      </c>
      <c r="H146" s="169">
        <v>289917</v>
      </c>
      <c r="I146" s="169">
        <v>301640</v>
      </c>
      <c r="J146" s="169">
        <v>305323</v>
      </c>
      <c r="K146" s="169">
        <v>309725</v>
      </c>
      <c r="L146" s="169">
        <v>313646</v>
      </c>
      <c r="M146" s="169">
        <v>317925</v>
      </c>
      <c r="N146" s="169">
        <v>324520</v>
      </c>
      <c r="O146" s="169">
        <v>333905</v>
      </c>
      <c r="P146" s="169">
        <v>345014</v>
      </c>
      <c r="Q146" s="15">
        <v>356674</v>
      </c>
      <c r="R146" s="15">
        <v>367113</v>
      </c>
      <c r="S146" s="15">
        <v>375070</v>
      </c>
      <c r="T146" s="15">
        <v>379351</v>
      </c>
      <c r="U146" s="15">
        <v>380700</v>
      </c>
      <c r="V146" s="15"/>
      <c r="W146" s="15"/>
      <c r="X146" s="15"/>
      <c r="Y146" s="15"/>
      <c r="Z146" s="15"/>
    </row>
    <row r="147" spans="1:26" x14ac:dyDescent="0.3">
      <c r="A147" t="s">
        <v>3</v>
      </c>
      <c r="B147">
        <v>54</v>
      </c>
      <c r="C147">
        <v>294138</v>
      </c>
      <c r="D147">
        <v>294138</v>
      </c>
      <c r="E147">
        <v>298325</v>
      </c>
      <c r="F147" s="169">
        <v>280576</v>
      </c>
      <c r="G147" s="169">
        <v>281286</v>
      </c>
      <c r="H147" s="169">
        <v>285426</v>
      </c>
      <c r="I147" s="169">
        <v>285178</v>
      </c>
      <c r="J147" s="169">
        <v>287972</v>
      </c>
      <c r="K147" s="169">
        <v>291511</v>
      </c>
      <c r="L147" s="169">
        <v>295736</v>
      </c>
      <c r="M147" s="169">
        <v>299503</v>
      </c>
      <c r="N147" s="169">
        <v>303611</v>
      </c>
      <c r="O147" s="169">
        <v>309932</v>
      </c>
      <c r="P147" s="169">
        <v>318917</v>
      </c>
      <c r="Q147" s="15">
        <v>329551</v>
      </c>
      <c r="R147" s="15">
        <v>340710</v>
      </c>
      <c r="S147" s="15">
        <v>350703</v>
      </c>
      <c r="T147" s="15">
        <v>358326</v>
      </c>
      <c r="U147" s="15">
        <v>362437</v>
      </c>
      <c r="V147" s="15"/>
      <c r="W147" s="15"/>
      <c r="X147" s="15"/>
      <c r="Y147" s="15"/>
      <c r="Z147" s="15"/>
    </row>
    <row r="148" spans="1:26" x14ac:dyDescent="0.3">
      <c r="A148" t="s">
        <v>3</v>
      </c>
      <c r="B148">
        <v>55</v>
      </c>
      <c r="C148">
        <v>279456</v>
      </c>
      <c r="D148">
        <v>279456</v>
      </c>
      <c r="E148">
        <v>284404</v>
      </c>
      <c r="F148" s="169">
        <v>285175</v>
      </c>
      <c r="G148" s="169">
        <v>275334</v>
      </c>
      <c r="H148" s="169">
        <v>278661</v>
      </c>
      <c r="I148" s="169">
        <v>281029</v>
      </c>
      <c r="J148" s="169">
        <v>283148</v>
      </c>
      <c r="K148" s="169">
        <v>285949</v>
      </c>
      <c r="L148" s="169">
        <v>289490</v>
      </c>
      <c r="M148" s="169">
        <v>293713</v>
      </c>
      <c r="N148" s="169">
        <v>297481</v>
      </c>
      <c r="O148" s="169">
        <v>301588</v>
      </c>
      <c r="P148" s="169">
        <v>307892</v>
      </c>
      <c r="Q148" s="15">
        <v>316845</v>
      </c>
      <c r="R148" s="15">
        <v>327435</v>
      </c>
      <c r="S148" s="15">
        <v>338549</v>
      </c>
      <c r="T148" s="15">
        <v>348505</v>
      </c>
      <c r="U148" s="15">
        <v>356106</v>
      </c>
      <c r="V148" s="15"/>
      <c r="W148" s="15"/>
      <c r="X148" s="15"/>
      <c r="Y148" s="15"/>
      <c r="Z148" s="15"/>
    </row>
    <row r="149" spans="1:26" x14ac:dyDescent="0.3">
      <c r="A149" t="s">
        <v>3</v>
      </c>
      <c r="B149">
        <v>56</v>
      </c>
      <c r="C149">
        <v>265093</v>
      </c>
      <c r="D149">
        <v>265093</v>
      </c>
      <c r="E149">
        <v>271100</v>
      </c>
      <c r="F149" s="169">
        <v>277868</v>
      </c>
      <c r="G149" s="169">
        <v>281701</v>
      </c>
      <c r="H149" s="169">
        <v>273969</v>
      </c>
      <c r="I149" s="169">
        <v>275764</v>
      </c>
      <c r="J149" s="169">
        <v>277320</v>
      </c>
      <c r="K149" s="169">
        <v>279443</v>
      </c>
      <c r="L149" s="169">
        <v>282239</v>
      </c>
      <c r="M149" s="169">
        <v>285764</v>
      </c>
      <c r="N149" s="169">
        <v>289964</v>
      </c>
      <c r="O149" s="169">
        <v>293713</v>
      </c>
      <c r="P149" s="169">
        <v>297798</v>
      </c>
      <c r="Q149" s="15">
        <v>304053</v>
      </c>
      <c r="R149" s="15">
        <v>312924</v>
      </c>
      <c r="S149" s="15">
        <v>323413</v>
      </c>
      <c r="T149" s="15">
        <v>334420</v>
      </c>
      <c r="U149" s="15">
        <v>344285</v>
      </c>
      <c r="V149" s="15"/>
      <c r="W149" s="15"/>
      <c r="X149" s="15"/>
      <c r="Y149" s="15"/>
      <c r="Z149" s="15"/>
    </row>
    <row r="150" spans="1:26" x14ac:dyDescent="0.3">
      <c r="A150" t="s">
        <v>3</v>
      </c>
      <c r="B150">
        <v>57</v>
      </c>
      <c r="C150">
        <v>258251</v>
      </c>
      <c r="D150">
        <v>258251</v>
      </c>
      <c r="E150">
        <v>265139</v>
      </c>
      <c r="F150" s="169">
        <v>269721</v>
      </c>
      <c r="G150" s="169">
        <v>274907</v>
      </c>
      <c r="H150" s="169">
        <v>280395</v>
      </c>
      <c r="I150" s="169">
        <v>272420</v>
      </c>
      <c r="J150" s="169">
        <v>274369</v>
      </c>
      <c r="K150" s="169">
        <v>275949</v>
      </c>
      <c r="L150" s="169">
        <v>278092</v>
      </c>
      <c r="M150" s="169">
        <v>280904</v>
      </c>
      <c r="N150" s="169">
        <v>284442</v>
      </c>
      <c r="O150" s="169">
        <v>288652</v>
      </c>
      <c r="P150" s="169">
        <v>292414</v>
      </c>
      <c r="Q150" s="15">
        <v>296509</v>
      </c>
      <c r="R150" s="15">
        <v>302766</v>
      </c>
      <c r="S150" s="15">
        <v>311629</v>
      </c>
      <c r="T150" s="15">
        <v>322104</v>
      </c>
      <c r="U150" s="15">
        <v>333094</v>
      </c>
      <c r="V150" s="15"/>
      <c r="W150" s="15"/>
      <c r="X150" s="15"/>
      <c r="Y150" s="15"/>
      <c r="Z150" s="15"/>
    </row>
    <row r="151" spans="1:26" x14ac:dyDescent="0.3">
      <c r="A151" t="s">
        <v>3</v>
      </c>
      <c r="B151">
        <v>58</v>
      </c>
      <c r="C151">
        <v>252302</v>
      </c>
      <c r="D151">
        <v>252302</v>
      </c>
      <c r="E151">
        <v>259212</v>
      </c>
      <c r="F151" s="169">
        <v>257637</v>
      </c>
      <c r="G151" s="169">
        <v>266535</v>
      </c>
      <c r="H151" s="169">
        <v>272954</v>
      </c>
      <c r="I151" s="169">
        <v>278943</v>
      </c>
      <c r="J151" s="169">
        <v>282227</v>
      </c>
      <c r="K151" s="169">
        <v>284278</v>
      </c>
      <c r="L151" s="169">
        <v>285946</v>
      </c>
      <c r="M151" s="169">
        <v>288196</v>
      </c>
      <c r="N151" s="169">
        <v>291140</v>
      </c>
      <c r="O151" s="169">
        <v>294838</v>
      </c>
      <c r="P151" s="169">
        <v>299232</v>
      </c>
      <c r="Q151" s="15">
        <v>303161</v>
      </c>
      <c r="R151" s="15">
        <v>307436</v>
      </c>
      <c r="S151" s="15">
        <v>313952</v>
      </c>
      <c r="T151" s="15">
        <v>323171</v>
      </c>
      <c r="U151" s="15">
        <v>334063</v>
      </c>
      <c r="V151" s="15"/>
      <c r="W151" s="15"/>
      <c r="X151" s="15"/>
      <c r="Y151" s="15"/>
      <c r="Z151" s="15"/>
    </row>
    <row r="152" spans="1:26" x14ac:dyDescent="0.3">
      <c r="A152" t="s">
        <v>3</v>
      </c>
      <c r="B152">
        <v>59</v>
      </c>
      <c r="C152">
        <v>238389</v>
      </c>
      <c r="D152">
        <v>238389</v>
      </c>
      <c r="E152">
        <v>245199</v>
      </c>
      <c r="F152" s="169">
        <v>239805</v>
      </c>
      <c r="G152" s="169">
        <v>248700</v>
      </c>
      <c r="H152" s="169">
        <v>258734</v>
      </c>
      <c r="I152" s="169">
        <v>265553</v>
      </c>
      <c r="J152" s="169">
        <v>270446</v>
      </c>
      <c r="K152" s="169">
        <v>273661</v>
      </c>
      <c r="L152" s="169">
        <v>275680</v>
      </c>
      <c r="M152" s="169">
        <v>277327</v>
      </c>
      <c r="N152" s="169">
        <v>279537</v>
      </c>
      <c r="O152" s="169">
        <v>282422</v>
      </c>
      <c r="P152" s="169">
        <v>286038</v>
      </c>
      <c r="Q152" s="15">
        <v>290328</v>
      </c>
      <c r="R152" s="15">
        <v>294169</v>
      </c>
      <c r="S152" s="15">
        <v>298345</v>
      </c>
      <c r="T152" s="15">
        <v>304695</v>
      </c>
      <c r="U152" s="15">
        <v>313670</v>
      </c>
      <c r="V152" s="15"/>
      <c r="W152" s="15"/>
      <c r="X152" s="15"/>
      <c r="Y152" s="15"/>
      <c r="Z152" s="15"/>
    </row>
    <row r="153" spans="1:26" x14ac:dyDescent="0.3">
      <c r="A153" t="s">
        <v>3</v>
      </c>
      <c r="B153">
        <v>60</v>
      </c>
      <c r="C153">
        <v>227498</v>
      </c>
      <c r="D153">
        <v>227498</v>
      </c>
      <c r="E153">
        <v>234419</v>
      </c>
      <c r="F153" s="169">
        <v>232287</v>
      </c>
      <c r="G153" s="169">
        <v>231643</v>
      </c>
      <c r="H153" s="169">
        <v>243536</v>
      </c>
      <c r="I153" s="169">
        <v>253409</v>
      </c>
      <c r="J153" s="169">
        <v>259197</v>
      </c>
      <c r="K153" s="169">
        <v>264010</v>
      </c>
      <c r="L153" s="169">
        <v>267184</v>
      </c>
      <c r="M153" s="169">
        <v>269190</v>
      </c>
      <c r="N153" s="169">
        <v>270833</v>
      </c>
      <c r="O153" s="169">
        <v>273027</v>
      </c>
      <c r="P153" s="169">
        <v>275879</v>
      </c>
      <c r="Q153" s="15">
        <v>279444</v>
      </c>
      <c r="R153" s="15">
        <v>283669</v>
      </c>
      <c r="S153" s="15">
        <v>287455</v>
      </c>
      <c r="T153" s="15">
        <v>291568</v>
      </c>
      <c r="U153" s="15">
        <v>297807</v>
      </c>
      <c r="V153" s="15"/>
      <c r="W153" s="15"/>
      <c r="X153" s="15"/>
      <c r="Y153" s="15"/>
      <c r="Z153" s="15"/>
    </row>
    <row r="154" spans="1:26" x14ac:dyDescent="0.3">
      <c r="A154" t="s">
        <v>3</v>
      </c>
      <c r="B154">
        <v>61</v>
      </c>
      <c r="C154">
        <v>219092</v>
      </c>
      <c r="D154">
        <v>219092</v>
      </c>
      <c r="E154">
        <v>226093</v>
      </c>
      <c r="F154" s="169">
        <v>223237</v>
      </c>
      <c r="G154" s="169">
        <v>227525</v>
      </c>
      <c r="H154" s="169">
        <v>228431</v>
      </c>
      <c r="I154" s="169">
        <v>240832</v>
      </c>
      <c r="J154" s="169">
        <v>245907</v>
      </c>
      <c r="K154" s="169">
        <v>251565</v>
      </c>
      <c r="L154" s="169">
        <v>256278</v>
      </c>
      <c r="M154" s="169">
        <v>259401</v>
      </c>
      <c r="N154" s="169">
        <v>261390</v>
      </c>
      <c r="O154" s="169">
        <v>263025</v>
      </c>
      <c r="P154" s="169">
        <v>265194</v>
      </c>
      <c r="Q154" s="15">
        <v>268003</v>
      </c>
      <c r="R154" s="15">
        <v>271506</v>
      </c>
      <c r="S154" s="15">
        <v>275650</v>
      </c>
      <c r="T154" s="15">
        <v>279366</v>
      </c>
      <c r="U154" s="15">
        <v>283401</v>
      </c>
      <c r="V154" s="15"/>
      <c r="W154" s="15"/>
      <c r="X154" s="15"/>
      <c r="Y154" s="15"/>
      <c r="Z154" s="15"/>
    </row>
    <row r="155" spans="1:26" x14ac:dyDescent="0.3">
      <c r="A155" t="s">
        <v>3</v>
      </c>
      <c r="B155">
        <v>62</v>
      </c>
      <c r="C155">
        <v>211961</v>
      </c>
      <c r="D155">
        <v>211961</v>
      </c>
      <c r="E155">
        <v>219083</v>
      </c>
      <c r="F155" s="169">
        <v>213482</v>
      </c>
      <c r="G155" s="169">
        <v>219351</v>
      </c>
      <c r="H155" s="169">
        <v>224583</v>
      </c>
      <c r="I155" s="169">
        <v>226782</v>
      </c>
      <c r="J155" s="169">
        <v>232911</v>
      </c>
      <c r="K155" s="169">
        <v>237858</v>
      </c>
      <c r="L155" s="169">
        <v>243373</v>
      </c>
      <c r="M155" s="169">
        <v>247972</v>
      </c>
      <c r="N155" s="169">
        <v>251033</v>
      </c>
      <c r="O155" s="169">
        <v>252996</v>
      </c>
      <c r="P155" s="169">
        <v>254616</v>
      </c>
      <c r="Q155" s="15">
        <v>256754</v>
      </c>
      <c r="R155" s="15">
        <v>259511</v>
      </c>
      <c r="S155" s="15">
        <v>262939</v>
      </c>
      <c r="T155" s="15">
        <v>266989</v>
      </c>
      <c r="U155" s="15">
        <v>270624</v>
      </c>
      <c r="V155" s="15"/>
      <c r="W155" s="15"/>
      <c r="X155" s="15"/>
      <c r="Y155" s="15"/>
      <c r="Z155" s="15"/>
    </row>
    <row r="156" spans="1:26" x14ac:dyDescent="0.3">
      <c r="A156" t="s">
        <v>3</v>
      </c>
      <c r="B156">
        <v>63</v>
      </c>
      <c r="C156">
        <v>204465</v>
      </c>
      <c r="D156">
        <v>204465</v>
      </c>
      <c r="E156">
        <v>211593</v>
      </c>
      <c r="F156" s="169">
        <v>210412</v>
      </c>
      <c r="G156" s="169">
        <v>210558</v>
      </c>
      <c r="H156" s="169">
        <v>217090</v>
      </c>
      <c r="I156" s="169">
        <v>223769</v>
      </c>
      <c r="J156" s="169">
        <v>230625</v>
      </c>
      <c r="K156" s="169">
        <v>236897</v>
      </c>
      <c r="L156" s="169">
        <v>241969</v>
      </c>
      <c r="M156" s="169">
        <v>247619</v>
      </c>
      <c r="N156" s="169">
        <v>252338</v>
      </c>
      <c r="O156" s="169">
        <v>255492</v>
      </c>
      <c r="P156" s="169">
        <v>257529</v>
      </c>
      <c r="Q156" s="15">
        <v>259215</v>
      </c>
      <c r="R156" s="15">
        <v>261429</v>
      </c>
      <c r="S156" s="15">
        <v>264273</v>
      </c>
      <c r="T156" s="15">
        <v>267800</v>
      </c>
      <c r="U156" s="15">
        <v>271962</v>
      </c>
      <c r="V156" s="15"/>
      <c r="W156" s="15"/>
      <c r="X156" s="15"/>
      <c r="Y156" s="15"/>
      <c r="Z156" s="15"/>
    </row>
    <row r="157" spans="1:26" x14ac:dyDescent="0.3">
      <c r="A157" t="s">
        <v>3</v>
      </c>
      <c r="B157">
        <v>64</v>
      </c>
      <c r="C157">
        <v>195679</v>
      </c>
      <c r="D157">
        <v>195679</v>
      </c>
      <c r="E157">
        <v>202718</v>
      </c>
      <c r="F157" s="169">
        <v>204747</v>
      </c>
      <c r="G157" s="169">
        <v>207687</v>
      </c>
      <c r="H157" s="169">
        <v>208633</v>
      </c>
      <c r="I157" s="169">
        <v>216779</v>
      </c>
      <c r="J157" s="169">
        <v>223892</v>
      </c>
      <c r="K157" s="169">
        <v>230791</v>
      </c>
      <c r="L157" s="169">
        <v>237107</v>
      </c>
      <c r="M157" s="169">
        <v>242222</v>
      </c>
      <c r="N157" s="169">
        <v>247918</v>
      </c>
      <c r="O157" s="169">
        <v>252681</v>
      </c>
      <c r="P157" s="169">
        <v>255877</v>
      </c>
      <c r="Q157" s="15">
        <v>257955</v>
      </c>
      <c r="R157" s="15">
        <v>259682</v>
      </c>
      <c r="S157" s="15">
        <v>261935</v>
      </c>
      <c r="T157" s="15">
        <v>264821</v>
      </c>
      <c r="U157" s="15">
        <v>268391</v>
      </c>
      <c r="V157" s="15"/>
      <c r="W157" s="15"/>
      <c r="X157" s="15"/>
      <c r="Y157" s="15"/>
      <c r="Z157" s="15"/>
    </row>
    <row r="158" spans="1:26" x14ac:dyDescent="0.3">
      <c r="A158" t="s">
        <v>3</v>
      </c>
      <c r="B158">
        <v>65</v>
      </c>
      <c r="C158">
        <v>187086</v>
      </c>
      <c r="D158">
        <v>187086</v>
      </c>
      <c r="E158">
        <v>194091</v>
      </c>
      <c r="F158" s="169">
        <v>198019</v>
      </c>
      <c r="G158" s="169">
        <v>202474</v>
      </c>
      <c r="H158" s="169">
        <v>205748</v>
      </c>
      <c r="I158" s="169">
        <v>208800</v>
      </c>
      <c r="J158" s="169">
        <v>215708</v>
      </c>
      <c r="K158" s="169">
        <v>222831</v>
      </c>
      <c r="L158" s="169">
        <v>229745</v>
      </c>
      <c r="M158" s="169">
        <v>236078</v>
      </c>
      <c r="N158" s="169">
        <v>241216</v>
      </c>
      <c r="O158" s="169">
        <v>246934</v>
      </c>
      <c r="P158" s="169">
        <v>251724</v>
      </c>
      <c r="Q158" s="15">
        <v>254953</v>
      </c>
      <c r="R158" s="15">
        <v>257067</v>
      </c>
      <c r="S158" s="15">
        <v>258832</v>
      </c>
      <c r="T158" s="15">
        <v>261121</v>
      </c>
      <c r="U158" s="15">
        <v>264040</v>
      </c>
      <c r="V158" s="15"/>
      <c r="W158" s="15"/>
      <c r="X158" s="15"/>
      <c r="Y158" s="15"/>
      <c r="Z158" s="15"/>
    </row>
    <row r="159" spans="1:26" x14ac:dyDescent="0.3">
      <c r="A159" t="s">
        <v>3</v>
      </c>
      <c r="B159">
        <v>66</v>
      </c>
      <c r="C159">
        <v>179918</v>
      </c>
      <c r="D159">
        <v>179918</v>
      </c>
      <c r="E159">
        <v>186806</v>
      </c>
      <c r="F159" s="169">
        <v>193160</v>
      </c>
      <c r="G159" s="169">
        <v>195690</v>
      </c>
      <c r="H159" s="169">
        <v>200894</v>
      </c>
      <c r="I159" s="169">
        <v>206506</v>
      </c>
      <c r="J159" s="169">
        <v>213268</v>
      </c>
      <c r="K159" s="169">
        <v>220378</v>
      </c>
      <c r="L159" s="169">
        <v>227709</v>
      </c>
      <c r="M159" s="169">
        <v>234828</v>
      </c>
      <c r="N159" s="169">
        <v>241356</v>
      </c>
      <c r="O159" s="169">
        <v>246662</v>
      </c>
      <c r="P159" s="169">
        <v>252563</v>
      </c>
      <c r="Q159" s="15">
        <v>257515</v>
      </c>
      <c r="R159" s="15">
        <v>260873</v>
      </c>
      <c r="S159" s="15">
        <v>263088</v>
      </c>
      <c r="T159" s="15">
        <v>264946</v>
      </c>
      <c r="U159" s="15">
        <v>267340</v>
      </c>
      <c r="V159" s="15"/>
      <c r="W159" s="15"/>
      <c r="X159" s="15"/>
      <c r="Y159" s="15"/>
      <c r="Z159" s="15"/>
    </row>
    <row r="160" spans="1:26" x14ac:dyDescent="0.3">
      <c r="A160" t="s">
        <v>3</v>
      </c>
      <c r="B160">
        <v>67</v>
      </c>
      <c r="C160">
        <v>167303</v>
      </c>
      <c r="D160">
        <v>167303</v>
      </c>
      <c r="E160">
        <v>173924</v>
      </c>
      <c r="F160" s="169">
        <v>182494</v>
      </c>
      <c r="G160" s="169">
        <v>190999</v>
      </c>
      <c r="H160" s="169">
        <v>194071</v>
      </c>
      <c r="I160" s="169">
        <v>201626</v>
      </c>
      <c r="J160" s="169">
        <v>208692</v>
      </c>
      <c r="K160" s="169">
        <v>215578</v>
      </c>
      <c r="L160" s="169">
        <v>222817</v>
      </c>
      <c r="M160" s="169">
        <v>230282</v>
      </c>
      <c r="N160" s="169">
        <v>237535</v>
      </c>
      <c r="O160" s="169">
        <v>244192</v>
      </c>
      <c r="P160" s="169">
        <v>249613</v>
      </c>
      <c r="Q160" s="15">
        <v>255638</v>
      </c>
      <c r="R160" s="15">
        <v>260705</v>
      </c>
      <c r="S160" s="15">
        <v>264157</v>
      </c>
      <c r="T160" s="15">
        <v>266452</v>
      </c>
      <c r="U160" s="15">
        <v>268383</v>
      </c>
      <c r="V160" s="15"/>
      <c r="W160" s="15"/>
      <c r="X160" s="15"/>
      <c r="Y160" s="15"/>
      <c r="Z160" s="15"/>
    </row>
    <row r="161" spans="1:26" x14ac:dyDescent="0.3">
      <c r="A161" t="s">
        <v>3</v>
      </c>
      <c r="B161">
        <v>68</v>
      </c>
      <c r="C161">
        <v>162519</v>
      </c>
      <c r="D161">
        <v>162519</v>
      </c>
      <c r="E161">
        <v>168952</v>
      </c>
      <c r="F161" s="169">
        <v>178437</v>
      </c>
      <c r="G161" s="169">
        <v>180419</v>
      </c>
      <c r="H161" s="169">
        <v>189092</v>
      </c>
      <c r="I161" s="169">
        <v>194595</v>
      </c>
      <c r="J161" s="169">
        <v>201968</v>
      </c>
      <c r="K161" s="169">
        <v>209095</v>
      </c>
      <c r="L161" s="169">
        <v>216045</v>
      </c>
      <c r="M161" s="169">
        <v>223350</v>
      </c>
      <c r="N161" s="169">
        <v>230886</v>
      </c>
      <c r="O161" s="169">
        <v>238210</v>
      </c>
      <c r="P161" s="169">
        <v>244938</v>
      </c>
      <c r="Q161" s="15">
        <v>250428</v>
      </c>
      <c r="R161" s="15">
        <v>256526</v>
      </c>
      <c r="S161" s="15">
        <v>261663</v>
      </c>
      <c r="T161" s="15">
        <v>265179</v>
      </c>
      <c r="U161" s="15">
        <v>267534</v>
      </c>
      <c r="V161" s="15"/>
      <c r="W161" s="15"/>
      <c r="X161" s="15"/>
      <c r="Y161" s="15"/>
      <c r="Z161" s="15"/>
    </row>
    <row r="162" spans="1:26" x14ac:dyDescent="0.3">
      <c r="A162" t="s">
        <v>3</v>
      </c>
      <c r="B162">
        <v>69</v>
      </c>
      <c r="C162">
        <v>153530</v>
      </c>
      <c r="D162">
        <v>153530</v>
      </c>
      <c r="E162">
        <v>159489</v>
      </c>
      <c r="F162" s="169">
        <v>164508</v>
      </c>
      <c r="G162" s="169">
        <v>176391</v>
      </c>
      <c r="H162" s="169">
        <v>178714</v>
      </c>
      <c r="I162" s="169">
        <v>189937</v>
      </c>
      <c r="J162" s="169">
        <v>197707</v>
      </c>
      <c r="K162" s="169">
        <v>205247</v>
      </c>
      <c r="L162" s="169">
        <v>212539</v>
      </c>
      <c r="M162" s="169">
        <v>219653</v>
      </c>
      <c r="N162" s="169">
        <v>227132</v>
      </c>
      <c r="O162" s="169">
        <v>234847</v>
      </c>
      <c r="P162" s="169">
        <v>242347</v>
      </c>
      <c r="Q162" s="15">
        <v>249246</v>
      </c>
      <c r="R162" s="15">
        <v>254885</v>
      </c>
      <c r="S162" s="15">
        <v>261145</v>
      </c>
      <c r="T162" s="15">
        <v>266425</v>
      </c>
      <c r="U162" s="15">
        <v>270057</v>
      </c>
      <c r="V162" s="15"/>
      <c r="W162" s="15"/>
      <c r="X162" s="15"/>
      <c r="Y162" s="15"/>
      <c r="Z162" s="15"/>
    </row>
    <row r="163" spans="1:26" x14ac:dyDescent="0.3">
      <c r="A163" t="s">
        <v>3</v>
      </c>
      <c r="B163">
        <v>70</v>
      </c>
      <c r="C163">
        <v>147466</v>
      </c>
      <c r="D163">
        <v>147466</v>
      </c>
      <c r="E163">
        <v>153721</v>
      </c>
      <c r="F163" s="169">
        <v>160332</v>
      </c>
      <c r="G163" s="169">
        <v>162260</v>
      </c>
      <c r="H163" s="169">
        <v>174696</v>
      </c>
      <c r="I163" s="169">
        <v>179423</v>
      </c>
      <c r="J163" s="169">
        <v>186601</v>
      </c>
      <c r="K163" s="169">
        <v>194285</v>
      </c>
      <c r="L163" s="169">
        <v>201744</v>
      </c>
      <c r="M163" s="169">
        <v>208964</v>
      </c>
      <c r="N163" s="169">
        <v>216010</v>
      </c>
      <c r="O163" s="169">
        <v>223419</v>
      </c>
      <c r="P163" s="169">
        <v>231062</v>
      </c>
      <c r="Q163" s="15">
        <v>238498</v>
      </c>
      <c r="R163" s="15">
        <v>245342</v>
      </c>
      <c r="S163" s="15">
        <v>250948</v>
      </c>
      <c r="T163" s="15">
        <v>257166</v>
      </c>
      <c r="U163" s="15">
        <v>262421</v>
      </c>
      <c r="V163" s="15"/>
      <c r="W163" s="15"/>
      <c r="X163" s="15"/>
      <c r="Y163" s="15"/>
      <c r="Z163" s="15"/>
    </row>
    <row r="164" spans="1:26" x14ac:dyDescent="0.3">
      <c r="A164" t="s">
        <v>3</v>
      </c>
      <c r="B164">
        <v>71</v>
      </c>
      <c r="C164">
        <v>138028</v>
      </c>
      <c r="D164">
        <v>138028</v>
      </c>
      <c r="E164">
        <v>144604</v>
      </c>
      <c r="F164" s="169">
        <v>149738</v>
      </c>
      <c r="G164" s="169">
        <v>157893</v>
      </c>
      <c r="H164" s="169">
        <v>160432</v>
      </c>
      <c r="I164" s="169">
        <v>175381</v>
      </c>
      <c r="J164" s="169">
        <v>182241</v>
      </c>
      <c r="K164" s="169">
        <v>189585</v>
      </c>
      <c r="L164" s="169">
        <v>197446</v>
      </c>
      <c r="M164" s="169">
        <v>205083</v>
      </c>
      <c r="N164" s="169">
        <v>212478</v>
      </c>
      <c r="O164" s="169">
        <v>219699</v>
      </c>
      <c r="P164" s="169">
        <v>227292</v>
      </c>
      <c r="Q164" s="15">
        <v>235128</v>
      </c>
      <c r="R164" s="15">
        <v>242754</v>
      </c>
      <c r="S164" s="15">
        <v>249782</v>
      </c>
      <c r="T164" s="15">
        <v>255549</v>
      </c>
      <c r="U164" s="15">
        <v>261942</v>
      </c>
      <c r="V164" s="15"/>
      <c r="W164" s="15"/>
      <c r="X164" s="15"/>
      <c r="Y164" s="15"/>
      <c r="Z164" s="15"/>
    </row>
    <row r="165" spans="1:26" x14ac:dyDescent="0.3">
      <c r="A165" t="s">
        <v>3</v>
      </c>
      <c r="B165">
        <v>72</v>
      </c>
      <c r="C165">
        <v>126302</v>
      </c>
      <c r="D165">
        <v>126302</v>
      </c>
      <c r="E165">
        <v>132821</v>
      </c>
      <c r="F165" s="169">
        <v>145725</v>
      </c>
      <c r="G165" s="169">
        <v>147381</v>
      </c>
      <c r="H165" s="169">
        <v>156089</v>
      </c>
      <c r="I165" s="169">
        <v>161016</v>
      </c>
      <c r="J165" s="169">
        <v>167736</v>
      </c>
      <c r="K165" s="169">
        <v>174345</v>
      </c>
      <c r="L165" s="169">
        <v>181422</v>
      </c>
      <c r="M165" s="169">
        <v>188996</v>
      </c>
      <c r="N165" s="169">
        <v>196358</v>
      </c>
      <c r="O165" s="169">
        <v>203490</v>
      </c>
      <c r="P165" s="169">
        <v>210459</v>
      </c>
      <c r="Q165" s="15">
        <v>217788</v>
      </c>
      <c r="R165" s="15">
        <v>225352</v>
      </c>
      <c r="S165" s="15">
        <v>232719</v>
      </c>
      <c r="T165" s="15">
        <v>239512</v>
      </c>
      <c r="U165" s="15">
        <v>245098</v>
      </c>
      <c r="V165" s="15"/>
      <c r="W165" s="15"/>
      <c r="X165" s="15"/>
      <c r="Y165" s="15"/>
      <c r="Z165" s="15"/>
    </row>
    <row r="166" spans="1:26" x14ac:dyDescent="0.3">
      <c r="A166" t="s">
        <v>3</v>
      </c>
      <c r="B166">
        <v>73</v>
      </c>
      <c r="C166">
        <v>118567</v>
      </c>
      <c r="D166">
        <v>118567</v>
      </c>
      <c r="E166">
        <v>124598</v>
      </c>
      <c r="F166" s="169">
        <v>136054</v>
      </c>
      <c r="G166" s="169">
        <v>143221</v>
      </c>
      <c r="H166" s="169">
        <v>145483</v>
      </c>
      <c r="I166" s="169">
        <v>156498</v>
      </c>
      <c r="J166" s="169">
        <v>163486</v>
      </c>
      <c r="K166" s="169">
        <v>170358</v>
      </c>
      <c r="L166" s="169">
        <v>177119</v>
      </c>
      <c r="M166" s="169">
        <v>184359</v>
      </c>
      <c r="N166" s="169">
        <v>192106</v>
      </c>
      <c r="O166" s="169">
        <v>199639</v>
      </c>
      <c r="P166" s="169">
        <v>206942</v>
      </c>
      <c r="Q166" s="15">
        <v>214083</v>
      </c>
      <c r="R166" s="15">
        <v>221593</v>
      </c>
      <c r="S166" s="15">
        <v>229346</v>
      </c>
      <c r="T166" s="15">
        <v>236899</v>
      </c>
      <c r="U166" s="15">
        <v>243871</v>
      </c>
      <c r="V166" s="15"/>
      <c r="W166" s="15"/>
      <c r="X166" s="15"/>
      <c r="Y166" s="15"/>
      <c r="Z166" s="15"/>
    </row>
    <row r="167" spans="1:26" x14ac:dyDescent="0.3">
      <c r="A167" t="s">
        <v>3</v>
      </c>
      <c r="B167">
        <v>74</v>
      </c>
      <c r="C167">
        <v>116048</v>
      </c>
      <c r="D167">
        <v>116048</v>
      </c>
      <c r="E167">
        <v>122070</v>
      </c>
      <c r="F167" s="169">
        <v>125973</v>
      </c>
      <c r="G167" s="169">
        <v>133434</v>
      </c>
      <c r="H167" s="169">
        <v>141195</v>
      </c>
      <c r="I167" s="169">
        <v>145765</v>
      </c>
      <c r="J167" s="169">
        <v>152784</v>
      </c>
      <c r="K167" s="169">
        <v>159652</v>
      </c>
      <c r="L167" s="169">
        <v>166409</v>
      </c>
      <c r="M167" s="169">
        <v>173061</v>
      </c>
      <c r="N167" s="169">
        <v>180181</v>
      </c>
      <c r="O167" s="169">
        <v>187801</v>
      </c>
      <c r="P167" s="169">
        <v>195216</v>
      </c>
      <c r="Q167" s="15">
        <v>202406</v>
      </c>
      <c r="R167" s="15">
        <v>209443</v>
      </c>
      <c r="S167" s="15">
        <v>216842</v>
      </c>
      <c r="T167" s="15">
        <v>224482</v>
      </c>
      <c r="U167" s="15">
        <v>231929</v>
      </c>
      <c r="V167" s="15"/>
      <c r="W167" s="15"/>
      <c r="X167" s="15"/>
      <c r="Y167" s="15"/>
      <c r="Z167" s="15"/>
    </row>
    <row r="168" spans="1:26" x14ac:dyDescent="0.3">
      <c r="A168" t="s">
        <v>3</v>
      </c>
      <c r="B168">
        <v>75</v>
      </c>
      <c r="C168">
        <v>108511</v>
      </c>
      <c r="D168">
        <v>108511</v>
      </c>
      <c r="E168">
        <v>113559</v>
      </c>
      <c r="F168" s="169">
        <v>116030</v>
      </c>
      <c r="G168" s="169">
        <v>123420</v>
      </c>
      <c r="H168" s="169">
        <v>131362</v>
      </c>
      <c r="I168" s="169">
        <v>141260</v>
      </c>
      <c r="J168" s="169">
        <v>147708</v>
      </c>
      <c r="K168" s="169">
        <v>154876</v>
      </c>
      <c r="L168" s="169">
        <v>161896</v>
      </c>
      <c r="M168" s="169">
        <v>168808</v>
      </c>
      <c r="N168" s="169">
        <v>175616</v>
      </c>
      <c r="O168" s="169">
        <v>182903</v>
      </c>
      <c r="P168" s="169">
        <v>190700</v>
      </c>
      <c r="Q168" s="15">
        <v>198293</v>
      </c>
      <c r="R168" s="15">
        <v>205661</v>
      </c>
      <c r="S168" s="15">
        <v>212877</v>
      </c>
      <c r="T168" s="15">
        <v>220465</v>
      </c>
      <c r="U168" s="15">
        <v>228301</v>
      </c>
      <c r="V168" s="15"/>
      <c r="W168" s="15"/>
      <c r="X168" s="15"/>
      <c r="Y168" s="15"/>
      <c r="Z168" s="15"/>
    </row>
    <row r="169" spans="1:26" x14ac:dyDescent="0.3">
      <c r="A169" t="s">
        <v>3</v>
      </c>
      <c r="B169">
        <v>76</v>
      </c>
      <c r="C169">
        <v>100494</v>
      </c>
      <c r="D169">
        <v>100494</v>
      </c>
      <c r="E169">
        <v>103977</v>
      </c>
      <c r="F169" s="169">
        <v>110956</v>
      </c>
      <c r="G169" s="169">
        <v>113369</v>
      </c>
      <c r="H169" s="169">
        <v>121171</v>
      </c>
      <c r="I169" s="169">
        <v>131226</v>
      </c>
      <c r="J169" s="169">
        <v>136911</v>
      </c>
      <c r="K169" s="169">
        <v>143226</v>
      </c>
      <c r="L169" s="169">
        <v>150244</v>
      </c>
      <c r="M169" s="169">
        <v>157122</v>
      </c>
      <c r="N169" s="169">
        <v>163899</v>
      </c>
      <c r="O169" s="169">
        <v>170580</v>
      </c>
      <c r="P169" s="169">
        <v>177730</v>
      </c>
      <c r="Q169" s="15">
        <v>185381</v>
      </c>
      <c r="R169" s="15">
        <v>192837</v>
      </c>
      <c r="S169" s="15">
        <v>200080</v>
      </c>
      <c r="T169" s="15">
        <v>207178</v>
      </c>
      <c r="U169" s="15">
        <v>214640</v>
      </c>
      <c r="V169" s="15"/>
      <c r="W169" s="15"/>
      <c r="X169" s="15"/>
      <c r="Y169" s="15"/>
      <c r="Z169" s="15"/>
    </row>
    <row r="170" spans="1:26" x14ac:dyDescent="0.3">
      <c r="A170" t="s">
        <v>3</v>
      </c>
      <c r="B170">
        <v>77</v>
      </c>
      <c r="C170">
        <v>94611</v>
      </c>
      <c r="D170">
        <v>94611</v>
      </c>
      <c r="E170">
        <v>97150</v>
      </c>
      <c r="F170" s="169">
        <v>105088</v>
      </c>
      <c r="G170" s="169">
        <v>108170</v>
      </c>
      <c r="H170" s="169">
        <v>110890</v>
      </c>
      <c r="I170" s="169">
        <v>120673</v>
      </c>
      <c r="J170" s="169">
        <v>126539</v>
      </c>
      <c r="K170" s="169">
        <v>132081</v>
      </c>
      <c r="L170" s="169">
        <v>138234</v>
      </c>
      <c r="M170" s="169">
        <v>145072</v>
      </c>
      <c r="N170" s="169">
        <v>151778</v>
      </c>
      <c r="O170" s="169">
        <v>158390</v>
      </c>
      <c r="P170" s="169">
        <v>164914</v>
      </c>
      <c r="Q170" s="15">
        <v>171894</v>
      </c>
      <c r="R170" s="15">
        <v>179365</v>
      </c>
      <c r="S170" s="15">
        <v>186651</v>
      </c>
      <c r="T170" s="15">
        <v>193734</v>
      </c>
      <c r="U170" s="15">
        <v>200680</v>
      </c>
      <c r="V170" s="15"/>
      <c r="W170" s="15"/>
      <c r="X170" s="15"/>
      <c r="Y170" s="15"/>
      <c r="Z170" s="15"/>
    </row>
    <row r="171" spans="1:26" x14ac:dyDescent="0.3">
      <c r="A171" t="s">
        <v>3</v>
      </c>
      <c r="B171">
        <v>78</v>
      </c>
      <c r="C171">
        <v>96557</v>
      </c>
      <c r="D171">
        <v>96557</v>
      </c>
      <c r="E171">
        <v>98827</v>
      </c>
      <c r="F171" s="169">
        <v>99790</v>
      </c>
      <c r="G171" s="169">
        <v>102219</v>
      </c>
      <c r="H171" s="169">
        <v>105568</v>
      </c>
      <c r="I171" s="169">
        <v>110050</v>
      </c>
      <c r="J171" s="169">
        <v>116305</v>
      </c>
      <c r="K171" s="169">
        <v>122015</v>
      </c>
      <c r="L171" s="169">
        <v>127416</v>
      </c>
      <c r="M171" s="169">
        <v>133410</v>
      </c>
      <c r="N171" s="169">
        <v>140069</v>
      </c>
      <c r="O171" s="169">
        <v>146603</v>
      </c>
      <c r="P171" s="169">
        <v>153052</v>
      </c>
      <c r="Q171" s="15">
        <v>159420</v>
      </c>
      <c r="R171" s="15">
        <v>166233</v>
      </c>
      <c r="S171" s="15">
        <v>173525</v>
      </c>
      <c r="T171" s="15">
        <v>180641</v>
      </c>
      <c r="U171" s="15">
        <v>187564</v>
      </c>
      <c r="V171" s="15"/>
      <c r="W171" s="15"/>
      <c r="X171" s="15"/>
      <c r="Y171" s="15"/>
      <c r="Z171" s="15"/>
    </row>
    <row r="172" spans="1:26" x14ac:dyDescent="0.3">
      <c r="A172" t="s">
        <v>3</v>
      </c>
      <c r="B172">
        <v>79</v>
      </c>
      <c r="C172">
        <v>89852</v>
      </c>
      <c r="D172">
        <v>89852</v>
      </c>
      <c r="E172">
        <v>91387</v>
      </c>
      <c r="F172" s="169">
        <v>88379</v>
      </c>
      <c r="G172" s="169">
        <v>96535</v>
      </c>
      <c r="H172" s="169">
        <v>99424</v>
      </c>
      <c r="I172" s="169">
        <v>104340</v>
      </c>
      <c r="J172" s="169">
        <v>110859</v>
      </c>
      <c r="K172" s="169">
        <v>117214</v>
      </c>
      <c r="L172" s="169">
        <v>123024</v>
      </c>
      <c r="M172" s="169">
        <v>128526</v>
      </c>
      <c r="N172" s="169">
        <v>134630</v>
      </c>
      <c r="O172" s="169">
        <v>141409</v>
      </c>
      <c r="P172" s="169">
        <v>148066</v>
      </c>
      <c r="Q172" s="15">
        <v>154640</v>
      </c>
      <c r="R172" s="15">
        <v>161137</v>
      </c>
      <c r="S172" s="15">
        <v>168088</v>
      </c>
      <c r="T172" s="15">
        <v>175527</v>
      </c>
      <c r="U172" s="15">
        <v>182792</v>
      </c>
      <c r="V172" s="15"/>
      <c r="W172" s="15"/>
      <c r="X172" s="15"/>
      <c r="Y172" s="15"/>
      <c r="Z172" s="15"/>
    </row>
    <row r="173" spans="1:26" x14ac:dyDescent="0.3">
      <c r="A173" t="s">
        <v>3</v>
      </c>
      <c r="B173">
        <v>80</v>
      </c>
      <c r="C173">
        <v>83660</v>
      </c>
      <c r="D173">
        <v>83660</v>
      </c>
      <c r="E173">
        <v>85770</v>
      </c>
      <c r="F173" s="169">
        <v>89350</v>
      </c>
      <c r="G173" s="169">
        <v>85192</v>
      </c>
      <c r="H173" s="169">
        <v>93655</v>
      </c>
      <c r="I173" s="169">
        <v>98142</v>
      </c>
      <c r="J173" s="169">
        <v>102844</v>
      </c>
      <c r="K173" s="169">
        <v>109332</v>
      </c>
      <c r="L173" s="169">
        <v>115665</v>
      </c>
      <c r="M173" s="169">
        <v>121465</v>
      </c>
      <c r="N173" s="169">
        <v>126965</v>
      </c>
      <c r="O173" s="169">
        <v>133063</v>
      </c>
      <c r="P173" s="169">
        <v>139833</v>
      </c>
      <c r="Q173" s="15">
        <v>146489</v>
      </c>
      <c r="R173" s="15">
        <v>153068</v>
      </c>
      <c r="S173" s="15">
        <v>159575</v>
      </c>
      <c r="T173" s="15">
        <v>166536</v>
      </c>
      <c r="U173" s="15">
        <v>173986</v>
      </c>
      <c r="V173" s="15"/>
      <c r="W173" s="15"/>
      <c r="X173" s="15"/>
      <c r="Y173" s="15"/>
      <c r="Z173" s="15"/>
    </row>
    <row r="174" spans="1:26" x14ac:dyDescent="0.3">
      <c r="A174" t="s">
        <v>3</v>
      </c>
      <c r="B174">
        <v>81</v>
      </c>
      <c r="C174">
        <v>77306</v>
      </c>
      <c r="D174">
        <v>77306</v>
      </c>
      <c r="E174">
        <v>80466</v>
      </c>
      <c r="F174" s="169">
        <v>84365</v>
      </c>
      <c r="G174" s="169">
        <v>85864</v>
      </c>
      <c r="H174" s="169">
        <v>82481</v>
      </c>
      <c r="I174" s="169">
        <v>91909</v>
      </c>
      <c r="J174" s="169">
        <v>94462</v>
      </c>
      <c r="K174" s="169">
        <v>99057</v>
      </c>
      <c r="L174" s="169">
        <v>105379</v>
      </c>
      <c r="M174" s="169">
        <v>111557</v>
      </c>
      <c r="N174" s="169">
        <v>117227</v>
      </c>
      <c r="O174" s="169">
        <v>122614</v>
      </c>
      <c r="P174" s="169">
        <v>128581</v>
      </c>
      <c r="Q174" s="15">
        <v>135205</v>
      </c>
      <c r="R174" s="15">
        <v>141724</v>
      </c>
      <c r="S174" s="15">
        <v>148176</v>
      </c>
      <c r="T174" s="15">
        <v>154564</v>
      </c>
      <c r="U174" s="15">
        <v>161397</v>
      </c>
      <c r="V174" s="15"/>
      <c r="W174" s="15"/>
      <c r="X174" s="15"/>
      <c r="Y174" s="15"/>
      <c r="Z174" s="15"/>
    </row>
    <row r="175" spans="1:26" x14ac:dyDescent="0.3">
      <c r="A175" t="s">
        <v>3</v>
      </c>
      <c r="B175">
        <v>82</v>
      </c>
      <c r="C175">
        <v>75943</v>
      </c>
      <c r="D175">
        <v>75943</v>
      </c>
      <c r="E175">
        <v>80018</v>
      </c>
      <c r="F175" s="169">
        <v>79540</v>
      </c>
      <c r="G175" s="169">
        <v>80640</v>
      </c>
      <c r="H175" s="169">
        <v>82504</v>
      </c>
      <c r="I175" s="169">
        <v>80698</v>
      </c>
      <c r="J175" s="169">
        <v>82643</v>
      </c>
      <c r="K175" s="169">
        <v>84998</v>
      </c>
      <c r="L175" s="169">
        <v>89195</v>
      </c>
      <c r="M175" s="169">
        <v>94952</v>
      </c>
      <c r="N175" s="169">
        <v>100584</v>
      </c>
      <c r="O175" s="169">
        <v>105764</v>
      </c>
      <c r="P175" s="169">
        <v>110693</v>
      </c>
      <c r="Q175" s="15">
        <v>116150</v>
      </c>
      <c r="R175" s="15">
        <v>122206</v>
      </c>
      <c r="S175" s="15">
        <v>128172</v>
      </c>
      <c r="T175" s="15">
        <v>134083</v>
      </c>
      <c r="U175" s="15">
        <v>139941</v>
      </c>
      <c r="V175" s="15"/>
      <c r="W175" s="15"/>
      <c r="X175" s="15"/>
      <c r="Y175" s="15"/>
      <c r="Z175" s="15"/>
    </row>
    <row r="176" spans="1:26" x14ac:dyDescent="0.3">
      <c r="A176" t="s">
        <v>3</v>
      </c>
      <c r="B176">
        <v>83</v>
      </c>
      <c r="C176">
        <v>68874</v>
      </c>
      <c r="D176">
        <v>68874</v>
      </c>
      <c r="E176">
        <v>72182</v>
      </c>
      <c r="F176" s="169">
        <v>70454</v>
      </c>
      <c r="G176" s="169">
        <v>75557</v>
      </c>
      <c r="H176" s="169">
        <v>76982</v>
      </c>
      <c r="I176" s="169">
        <v>79910</v>
      </c>
      <c r="J176" s="169">
        <v>81916</v>
      </c>
      <c r="K176" s="169">
        <v>83949</v>
      </c>
      <c r="L176" s="169">
        <v>86401</v>
      </c>
      <c r="M176" s="169">
        <v>90728</v>
      </c>
      <c r="N176" s="169">
        <v>96647</v>
      </c>
      <c r="O176" s="169">
        <v>102444</v>
      </c>
      <c r="P176" s="169">
        <v>107788</v>
      </c>
      <c r="Q176" s="15">
        <v>112879</v>
      </c>
      <c r="R176" s="15">
        <v>118516</v>
      </c>
      <c r="S176" s="15">
        <v>124767</v>
      </c>
      <c r="T176" s="15">
        <v>130933</v>
      </c>
      <c r="U176" s="15">
        <v>137047</v>
      </c>
      <c r="V176" s="15"/>
      <c r="W176" s="15"/>
      <c r="X176" s="15"/>
      <c r="Y176" s="15"/>
      <c r="Z176" s="15"/>
    </row>
    <row r="177" spans="1:26" x14ac:dyDescent="0.3">
      <c r="A177" t="s">
        <v>3</v>
      </c>
      <c r="B177">
        <v>84</v>
      </c>
      <c r="C177">
        <v>61057</v>
      </c>
      <c r="D177">
        <v>61057</v>
      </c>
      <c r="E177">
        <v>63822</v>
      </c>
      <c r="F177" s="169">
        <v>69228</v>
      </c>
      <c r="G177" s="169">
        <v>66420</v>
      </c>
      <c r="H177" s="169">
        <v>71739</v>
      </c>
      <c r="I177" s="169">
        <v>74294</v>
      </c>
      <c r="J177" s="169">
        <v>76883</v>
      </c>
      <c r="K177" s="169">
        <v>78867</v>
      </c>
      <c r="L177" s="169">
        <v>80881</v>
      </c>
      <c r="M177" s="169">
        <v>83298</v>
      </c>
      <c r="N177" s="169">
        <v>87528</v>
      </c>
      <c r="O177" s="169">
        <v>93297</v>
      </c>
      <c r="P177" s="169">
        <v>98955</v>
      </c>
      <c r="Q177" s="15">
        <v>104181</v>
      </c>
      <c r="R177" s="15">
        <v>109167</v>
      </c>
      <c r="S177" s="15">
        <v>114685</v>
      </c>
      <c r="T177" s="15">
        <v>120803</v>
      </c>
      <c r="U177" s="15">
        <v>126842</v>
      </c>
      <c r="V177" s="15"/>
      <c r="W177" s="15"/>
      <c r="X177" s="15"/>
      <c r="Y177" s="15"/>
      <c r="Z177" s="15"/>
    </row>
    <row r="178" spans="1:26" x14ac:dyDescent="0.3">
      <c r="A178" t="s">
        <v>3</v>
      </c>
      <c r="B178">
        <v>85</v>
      </c>
      <c r="C178">
        <v>55743</v>
      </c>
      <c r="D178">
        <v>55743</v>
      </c>
      <c r="E178">
        <v>58251</v>
      </c>
      <c r="F178" s="169">
        <v>62600</v>
      </c>
      <c r="G178" s="169">
        <v>64786</v>
      </c>
      <c r="H178" s="169">
        <v>62495</v>
      </c>
      <c r="I178" s="169">
        <v>68584</v>
      </c>
      <c r="J178" s="169">
        <v>70326</v>
      </c>
      <c r="K178" s="169">
        <v>72846</v>
      </c>
      <c r="L178" s="169">
        <v>74798</v>
      </c>
      <c r="M178" s="169">
        <v>76777</v>
      </c>
      <c r="N178" s="169">
        <v>79144</v>
      </c>
      <c r="O178" s="169">
        <v>83237</v>
      </c>
      <c r="P178" s="169">
        <v>88799</v>
      </c>
      <c r="Q178" s="15">
        <v>94265</v>
      </c>
      <c r="R178" s="15">
        <v>99325</v>
      </c>
      <c r="S178" s="15">
        <v>104162</v>
      </c>
      <c r="T178" s="15">
        <v>109513</v>
      </c>
      <c r="U178" s="15">
        <v>115442</v>
      </c>
      <c r="V178" s="15"/>
      <c r="W178" s="15"/>
      <c r="X178" s="15"/>
      <c r="Y178" s="15"/>
      <c r="Z178" s="15"/>
    </row>
    <row r="179" spans="1:26" x14ac:dyDescent="0.3">
      <c r="A179" t="s">
        <v>3</v>
      </c>
      <c r="B179">
        <v>86</v>
      </c>
      <c r="C179">
        <v>52520</v>
      </c>
      <c r="D179">
        <v>52520</v>
      </c>
      <c r="E179">
        <v>54579</v>
      </c>
      <c r="F179" s="169">
        <v>56042</v>
      </c>
      <c r="G179" s="169">
        <v>58222</v>
      </c>
      <c r="H179" s="169">
        <v>60487</v>
      </c>
      <c r="I179" s="169">
        <v>59468</v>
      </c>
      <c r="J179" s="169">
        <v>60769</v>
      </c>
      <c r="K179" s="169">
        <v>62393</v>
      </c>
      <c r="L179" s="169">
        <v>64711</v>
      </c>
      <c r="M179" s="169">
        <v>66525</v>
      </c>
      <c r="N179" s="169">
        <v>68368</v>
      </c>
      <c r="O179" s="169">
        <v>70560</v>
      </c>
      <c r="P179" s="169">
        <v>74294</v>
      </c>
      <c r="Q179" s="15">
        <v>79348</v>
      </c>
      <c r="R179" s="15">
        <v>84324</v>
      </c>
      <c r="S179" s="15">
        <v>88947</v>
      </c>
      <c r="T179" s="15">
        <v>93376</v>
      </c>
      <c r="U179" s="15">
        <v>98271</v>
      </c>
      <c r="V179" s="15"/>
      <c r="W179" s="15"/>
      <c r="X179" s="15"/>
      <c r="Y179" s="15"/>
      <c r="Z179" s="15"/>
    </row>
    <row r="180" spans="1:26" x14ac:dyDescent="0.3">
      <c r="A180" t="s">
        <v>3</v>
      </c>
      <c r="B180">
        <v>87</v>
      </c>
      <c r="C180">
        <v>48409</v>
      </c>
      <c r="D180">
        <v>48409</v>
      </c>
      <c r="E180">
        <v>50180</v>
      </c>
      <c r="F180" s="169">
        <v>47892</v>
      </c>
      <c r="G180" s="169">
        <v>51560</v>
      </c>
      <c r="H180" s="169">
        <v>53858</v>
      </c>
      <c r="I180" s="169">
        <v>56949</v>
      </c>
      <c r="J180" s="169">
        <v>59529</v>
      </c>
      <c r="K180" s="169">
        <v>60909</v>
      </c>
      <c r="L180" s="169">
        <v>62615</v>
      </c>
      <c r="M180" s="169">
        <v>65020</v>
      </c>
      <c r="N180" s="169">
        <v>66924</v>
      </c>
      <c r="O180" s="169">
        <v>68859</v>
      </c>
      <c r="P180" s="169">
        <v>71147</v>
      </c>
      <c r="Q180" s="15">
        <v>74997</v>
      </c>
      <c r="R180" s="15">
        <v>80186</v>
      </c>
      <c r="S180" s="15">
        <v>85307</v>
      </c>
      <c r="T180" s="15">
        <v>90078</v>
      </c>
      <c r="U180" s="15">
        <v>94659</v>
      </c>
      <c r="V180" s="15"/>
      <c r="W180" s="15"/>
      <c r="X180" s="15"/>
      <c r="Y180" s="15"/>
      <c r="Z180" s="15"/>
    </row>
    <row r="181" spans="1:26" x14ac:dyDescent="0.3">
      <c r="A181" t="s">
        <v>3</v>
      </c>
      <c r="B181">
        <v>88</v>
      </c>
      <c r="C181">
        <v>44035</v>
      </c>
      <c r="D181">
        <v>44035</v>
      </c>
      <c r="E181">
        <v>45419</v>
      </c>
      <c r="F181" s="169">
        <v>45486</v>
      </c>
      <c r="G181" s="169">
        <v>43590</v>
      </c>
      <c r="H181" s="169">
        <v>47187</v>
      </c>
      <c r="I181" s="169">
        <v>49956</v>
      </c>
      <c r="J181" s="169">
        <v>53100</v>
      </c>
      <c r="K181" s="169">
        <v>55576</v>
      </c>
      <c r="L181" s="169">
        <v>56934</v>
      </c>
      <c r="M181" s="169">
        <v>58601</v>
      </c>
      <c r="N181" s="169">
        <v>60925</v>
      </c>
      <c r="O181" s="169">
        <v>62782</v>
      </c>
      <c r="P181" s="169">
        <v>64671</v>
      </c>
      <c r="Q181" s="15">
        <v>66895</v>
      </c>
      <c r="R181" s="15">
        <v>70594</v>
      </c>
      <c r="S181" s="15">
        <v>75559</v>
      </c>
      <c r="T181" s="15">
        <v>80466</v>
      </c>
      <c r="U181" s="15">
        <v>85054</v>
      </c>
      <c r="V181" s="15"/>
      <c r="W181" s="15"/>
      <c r="X181" s="15"/>
      <c r="Y181" s="15"/>
      <c r="Z181" s="15"/>
    </row>
    <row r="182" spans="1:26" x14ac:dyDescent="0.3">
      <c r="A182" t="s">
        <v>3</v>
      </c>
      <c r="B182">
        <v>89</v>
      </c>
      <c r="C182">
        <v>37341</v>
      </c>
      <c r="D182">
        <v>37341</v>
      </c>
      <c r="E182">
        <v>38267</v>
      </c>
      <c r="F182" s="169">
        <v>38824</v>
      </c>
      <c r="G182" s="169">
        <v>40950</v>
      </c>
      <c r="H182" s="169">
        <v>39452</v>
      </c>
      <c r="I182" s="169">
        <v>43406</v>
      </c>
      <c r="J182" s="169">
        <v>46647</v>
      </c>
      <c r="K182" s="169">
        <v>49645</v>
      </c>
      <c r="L182" s="169">
        <v>52025</v>
      </c>
      <c r="M182" s="169">
        <v>53361</v>
      </c>
      <c r="N182" s="169">
        <v>54986</v>
      </c>
      <c r="O182" s="169">
        <v>57235</v>
      </c>
      <c r="P182" s="169">
        <v>59047</v>
      </c>
      <c r="Q182" s="15">
        <v>60891</v>
      </c>
      <c r="R182" s="15">
        <v>63054</v>
      </c>
      <c r="S182" s="15">
        <v>66611</v>
      </c>
      <c r="T182" s="15">
        <v>71370</v>
      </c>
      <c r="U182" s="15">
        <v>76083</v>
      </c>
      <c r="V182" s="15"/>
      <c r="W182" s="15"/>
      <c r="X182" s="15"/>
      <c r="Y182" s="15"/>
      <c r="Z182" s="15"/>
    </row>
    <row r="183" spans="1:26" x14ac:dyDescent="0.3">
      <c r="A183" t="s">
        <v>3</v>
      </c>
      <c r="B183">
        <v>90</v>
      </c>
      <c r="C183">
        <v>143054</v>
      </c>
      <c r="D183">
        <v>143054</v>
      </c>
      <c r="E183">
        <v>151647</v>
      </c>
      <c r="F183" s="169">
        <v>169980</v>
      </c>
      <c r="G183" s="169">
        <v>175198</v>
      </c>
      <c r="H183" s="169">
        <v>182211</v>
      </c>
      <c r="I183" s="169">
        <v>190078</v>
      </c>
      <c r="J183" s="169">
        <v>198257</v>
      </c>
      <c r="K183" s="169">
        <v>208410</v>
      </c>
      <c r="L183" s="169">
        <v>219952</v>
      </c>
      <c r="M183" s="169">
        <v>232061</v>
      </c>
      <c r="N183" s="169">
        <v>243661</v>
      </c>
      <c r="O183" s="169">
        <v>255118</v>
      </c>
      <c r="P183" s="169">
        <v>267055</v>
      </c>
      <c r="Q183" s="15">
        <v>278978</v>
      </c>
      <c r="R183" s="15">
        <v>290927</v>
      </c>
      <c r="S183" s="15">
        <v>303210</v>
      </c>
      <c r="T183" s="15">
        <v>317109</v>
      </c>
      <c r="U183" s="15">
        <v>333520</v>
      </c>
      <c r="V183" s="15"/>
      <c r="W183" s="15"/>
      <c r="X183" s="15"/>
      <c r="Y183" s="15"/>
      <c r="Z183" s="15"/>
    </row>
    <row r="184" spans="1:26" x14ac:dyDescent="0.3">
      <c r="A184" t="s">
        <v>29</v>
      </c>
      <c r="B184">
        <v>0</v>
      </c>
      <c r="C184">
        <f t="shared" ref="C184:D203" si="0">C2+C93</f>
        <v>675053</v>
      </c>
      <c r="D184">
        <f t="shared" si="0"/>
        <v>675053</v>
      </c>
      <c r="E184">
        <v>671135</v>
      </c>
      <c r="F184" s="169">
        <f t="shared" ref="F184:H215" si="1">F2+F93</f>
        <v>595494</v>
      </c>
      <c r="G184" s="169">
        <f t="shared" ref="G184:G191" si="2">G2+G93</f>
        <v>576172</v>
      </c>
      <c r="H184" s="169">
        <f>H2+H93</f>
        <v>586762</v>
      </c>
      <c r="I184" s="169">
        <v>571224</v>
      </c>
      <c r="J184" s="169">
        <v>561528</v>
      </c>
      <c r="K184" s="169">
        <v>549691</v>
      </c>
      <c r="L184" s="169">
        <v>539498</v>
      </c>
      <c r="M184" s="169">
        <v>530375</v>
      </c>
      <c r="N184" s="169">
        <v>522127</v>
      </c>
      <c r="O184" s="169">
        <v>514793</v>
      </c>
      <c r="P184" s="169">
        <v>508330</v>
      </c>
      <c r="Q184" s="15">
        <v>502408</v>
      </c>
      <c r="R184" s="15">
        <v>496862</v>
      </c>
      <c r="S184" s="15">
        <v>491698</v>
      </c>
      <c r="T184" s="15">
        <v>486980</v>
      </c>
      <c r="U184" s="15">
        <v>482593</v>
      </c>
      <c r="V184" s="15"/>
      <c r="W184" s="15"/>
      <c r="X184" s="15"/>
      <c r="Y184" s="15"/>
      <c r="Z184" s="15"/>
    </row>
    <row r="185" spans="1:26" x14ac:dyDescent="0.3">
      <c r="A185" t="s">
        <v>29</v>
      </c>
      <c r="B185">
        <v>1</v>
      </c>
      <c r="C185">
        <f t="shared" si="0"/>
        <v>690931</v>
      </c>
      <c r="D185">
        <f t="shared" si="0"/>
        <v>690931</v>
      </c>
      <c r="E185">
        <v>703325</v>
      </c>
      <c r="F185" s="169">
        <f t="shared" si="1"/>
        <v>692819</v>
      </c>
      <c r="G185" s="169">
        <f t="shared" si="2"/>
        <v>664004</v>
      </c>
      <c r="H185" s="169">
        <f t="shared" ref="H185:H191" si="3">H3+H94</f>
        <v>655857</v>
      </c>
      <c r="I185" s="169">
        <v>642651</v>
      </c>
      <c r="J185" s="169">
        <v>625801</v>
      </c>
      <c r="K185" s="169">
        <v>615369</v>
      </c>
      <c r="L185" s="169">
        <v>602582</v>
      </c>
      <c r="M185" s="169">
        <v>591590</v>
      </c>
      <c r="N185" s="169">
        <v>581762</v>
      </c>
      <c r="O185" s="169">
        <v>572890</v>
      </c>
      <c r="P185" s="169">
        <v>565014</v>
      </c>
      <c r="Q185" s="15">
        <v>558018</v>
      </c>
      <c r="R185" s="15">
        <v>551524</v>
      </c>
      <c r="S185" s="15">
        <v>545440</v>
      </c>
      <c r="T185" s="15">
        <v>539775</v>
      </c>
      <c r="U185" s="15">
        <v>534601</v>
      </c>
      <c r="V185" s="15"/>
      <c r="W185" s="15"/>
      <c r="X185" s="15"/>
      <c r="Y185" s="15"/>
      <c r="Z185" s="15"/>
    </row>
    <row r="186" spans="1:26" x14ac:dyDescent="0.3">
      <c r="A186" t="s">
        <v>29</v>
      </c>
      <c r="B186">
        <v>2</v>
      </c>
      <c r="C186">
        <f t="shared" si="0"/>
        <v>731076</v>
      </c>
      <c r="D186">
        <f t="shared" si="0"/>
        <v>731076</v>
      </c>
      <c r="E186">
        <v>725376</v>
      </c>
      <c r="F186" s="169">
        <f t="shared" si="1"/>
        <v>724460</v>
      </c>
      <c r="G186" s="169">
        <f t="shared" si="2"/>
        <v>704969</v>
      </c>
      <c r="H186" s="169">
        <f t="shared" si="3"/>
        <v>691604</v>
      </c>
      <c r="I186" s="169">
        <v>649495</v>
      </c>
      <c r="J186" s="169">
        <v>627570</v>
      </c>
      <c r="K186" s="169">
        <v>611237</v>
      </c>
      <c r="L186" s="169">
        <v>601169</v>
      </c>
      <c r="M186" s="169">
        <v>588794</v>
      </c>
      <c r="N186" s="169">
        <v>578168</v>
      </c>
      <c r="O186" s="169">
        <v>568675</v>
      </c>
      <c r="P186" s="169">
        <v>560113</v>
      </c>
      <c r="Q186" s="15">
        <v>552475</v>
      </c>
      <c r="R186" s="15">
        <v>545632</v>
      </c>
      <c r="S186" s="15">
        <v>539279</v>
      </c>
      <c r="T186" s="15">
        <v>533326</v>
      </c>
      <c r="U186" s="15">
        <v>527783</v>
      </c>
      <c r="V186" s="15"/>
      <c r="W186" s="15"/>
      <c r="X186" s="15"/>
      <c r="Y186" s="15"/>
      <c r="Z186" s="15"/>
    </row>
    <row r="187" spans="1:26" x14ac:dyDescent="0.3">
      <c r="A187" t="s">
        <v>29</v>
      </c>
      <c r="B187">
        <v>3</v>
      </c>
      <c r="C187">
        <f t="shared" si="0"/>
        <v>721137</v>
      </c>
      <c r="D187">
        <f t="shared" si="0"/>
        <v>721137</v>
      </c>
      <c r="E187">
        <v>706350</v>
      </c>
      <c r="F187" s="169">
        <f t="shared" si="1"/>
        <v>708068</v>
      </c>
      <c r="G187" s="169">
        <f t="shared" si="2"/>
        <v>731647</v>
      </c>
      <c r="H187" s="169">
        <f t="shared" si="3"/>
        <v>735371</v>
      </c>
      <c r="I187" s="169">
        <v>683818</v>
      </c>
      <c r="J187" s="169">
        <v>660922</v>
      </c>
      <c r="K187" s="169">
        <v>638700</v>
      </c>
      <c r="L187" s="169">
        <v>622162</v>
      </c>
      <c r="M187" s="169">
        <v>611997</v>
      </c>
      <c r="N187" s="169">
        <v>599480</v>
      </c>
      <c r="O187" s="169">
        <v>588738</v>
      </c>
      <c r="P187" s="169">
        <v>579150</v>
      </c>
      <c r="Q187" s="15">
        <v>570474</v>
      </c>
      <c r="R187" s="15">
        <v>562691</v>
      </c>
      <c r="S187" s="15">
        <v>555719</v>
      </c>
      <c r="T187" s="15">
        <v>549246</v>
      </c>
      <c r="U187" s="15">
        <v>543179</v>
      </c>
      <c r="V187" s="15"/>
      <c r="W187" s="15"/>
      <c r="X187" s="15"/>
      <c r="Y187" s="15"/>
      <c r="Z187" s="15"/>
    </row>
    <row r="188" spans="1:26" x14ac:dyDescent="0.3">
      <c r="A188" t="s">
        <v>29</v>
      </c>
      <c r="B188">
        <v>4</v>
      </c>
      <c r="C188">
        <f t="shared" si="0"/>
        <v>684351</v>
      </c>
      <c r="D188">
        <f t="shared" si="0"/>
        <v>684351</v>
      </c>
      <c r="E188">
        <v>698349</v>
      </c>
      <c r="F188" s="169">
        <f t="shared" si="1"/>
        <v>670117</v>
      </c>
      <c r="G188" s="169">
        <f t="shared" si="2"/>
        <v>710316</v>
      </c>
      <c r="H188" s="169">
        <f t="shared" si="3"/>
        <v>756109</v>
      </c>
      <c r="I188" s="169">
        <v>723053</v>
      </c>
      <c r="J188" s="169">
        <v>695403</v>
      </c>
      <c r="K188" s="169">
        <v>672177</v>
      </c>
      <c r="L188" s="169">
        <v>649636</v>
      </c>
      <c r="M188" s="169">
        <v>632872</v>
      </c>
      <c r="N188" s="169">
        <v>622585</v>
      </c>
      <c r="O188" s="169">
        <v>609906</v>
      </c>
      <c r="P188" s="169">
        <v>599029</v>
      </c>
      <c r="Q188" s="15">
        <v>589304</v>
      </c>
      <c r="R188" s="15">
        <v>580473</v>
      </c>
      <c r="S188" s="15">
        <v>572550</v>
      </c>
      <c r="T188" s="15">
        <v>565456</v>
      </c>
      <c r="U188" s="15">
        <v>558865</v>
      </c>
      <c r="V188" s="15"/>
      <c r="W188" s="15"/>
      <c r="X188" s="15"/>
      <c r="Y188" s="15"/>
      <c r="Z188" s="15"/>
    </row>
    <row r="189" spans="1:26" x14ac:dyDescent="0.3">
      <c r="A189" t="s">
        <v>29</v>
      </c>
      <c r="B189">
        <v>5</v>
      </c>
      <c r="C189">
        <f t="shared" si="0"/>
        <v>663149</v>
      </c>
      <c r="D189">
        <f t="shared" si="0"/>
        <v>663149</v>
      </c>
      <c r="E189">
        <v>672058</v>
      </c>
      <c r="F189" s="169">
        <f t="shared" si="1"/>
        <v>701538</v>
      </c>
      <c r="G189" s="169">
        <f t="shared" si="2"/>
        <v>670041</v>
      </c>
      <c r="H189" s="169">
        <f t="shared" si="3"/>
        <v>728529</v>
      </c>
      <c r="I189" s="169">
        <v>742254</v>
      </c>
      <c r="J189" s="169">
        <v>733962</v>
      </c>
      <c r="K189" s="169">
        <v>705935</v>
      </c>
      <c r="L189" s="169">
        <v>682395</v>
      </c>
      <c r="M189" s="169">
        <v>659547</v>
      </c>
      <c r="N189" s="169">
        <v>642559</v>
      </c>
      <c r="O189" s="169">
        <v>632148</v>
      </c>
      <c r="P189" s="169">
        <v>619308</v>
      </c>
      <c r="Q189" s="15">
        <v>608282</v>
      </c>
      <c r="R189" s="15">
        <v>598403</v>
      </c>
      <c r="S189" s="15">
        <v>589432</v>
      </c>
      <c r="T189" s="15">
        <v>581383</v>
      </c>
      <c r="U189" s="15">
        <v>574175</v>
      </c>
      <c r="V189" s="15"/>
      <c r="W189" s="15"/>
      <c r="X189" s="15"/>
      <c r="Y189" s="15"/>
      <c r="Z189" s="15"/>
    </row>
    <row r="190" spans="1:26" x14ac:dyDescent="0.3">
      <c r="A190" t="s">
        <v>29</v>
      </c>
      <c r="B190">
        <v>6</v>
      </c>
      <c r="C190">
        <f t="shared" si="0"/>
        <v>639168</v>
      </c>
      <c r="D190">
        <f t="shared" si="0"/>
        <v>639168</v>
      </c>
      <c r="E190">
        <v>637364</v>
      </c>
      <c r="F190" s="169">
        <f t="shared" si="1"/>
        <v>672589</v>
      </c>
      <c r="G190" s="169">
        <f t="shared" si="2"/>
        <v>700069</v>
      </c>
      <c r="H190" s="169">
        <f t="shared" si="3"/>
        <v>682428</v>
      </c>
      <c r="I190" s="169">
        <v>714309</v>
      </c>
      <c r="J190" s="169">
        <v>724669</v>
      </c>
      <c r="K190" s="169">
        <v>716597</v>
      </c>
      <c r="L190" s="169">
        <v>689254</v>
      </c>
      <c r="M190" s="169">
        <v>666290</v>
      </c>
      <c r="N190" s="169">
        <v>644000</v>
      </c>
      <c r="O190" s="169">
        <v>627430</v>
      </c>
      <c r="P190" s="169">
        <v>617280</v>
      </c>
      <c r="Q190" s="15">
        <v>604753</v>
      </c>
      <c r="R190" s="15">
        <v>593980</v>
      </c>
      <c r="S190" s="15">
        <v>584328</v>
      </c>
      <c r="T190" s="15">
        <v>575563</v>
      </c>
      <c r="U190" s="15">
        <v>567698</v>
      </c>
      <c r="V190" s="15"/>
      <c r="W190" s="15"/>
      <c r="X190" s="15"/>
      <c r="Y190" s="15"/>
      <c r="Z190" s="15"/>
    </row>
    <row r="191" spans="1:26" x14ac:dyDescent="0.3">
      <c r="A191" t="s">
        <v>29</v>
      </c>
      <c r="B191">
        <v>7</v>
      </c>
      <c r="C191">
        <f t="shared" si="0"/>
        <v>625984</v>
      </c>
      <c r="D191">
        <f t="shared" si="0"/>
        <v>625984</v>
      </c>
      <c r="E191">
        <v>628090</v>
      </c>
      <c r="F191" s="169">
        <f t="shared" si="1"/>
        <v>639062</v>
      </c>
      <c r="G191" s="169">
        <f t="shared" si="2"/>
        <v>669707</v>
      </c>
      <c r="H191" s="169">
        <f t="shared" si="3"/>
        <v>710536</v>
      </c>
      <c r="I191" s="169">
        <v>669308</v>
      </c>
      <c r="J191" s="169">
        <v>654823</v>
      </c>
      <c r="K191" s="169">
        <v>664329</v>
      </c>
      <c r="L191" s="169">
        <v>656941</v>
      </c>
      <c r="M191" s="169">
        <v>631882</v>
      </c>
      <c r="N191" s="169">
        <v>610838</v>
      </c>
      <c r="O191" s="169">
        <v>590410</v>
      </c>
      <c r="P191" s="169">
        <v>575223</v>
      </c>
      <c r="Q191" s="15">
        <v>565923</v>
      </c>
      <c r="R191" s="15">
        <v>554432</v>
      </c>
      <c r="S191" s="15">
        <v>544552</v>
      </c>
      <c r="T191" s="15">
        <v>535699</v>
      </c>
      <c r="U191" s="15">
        <v>527660</v>
      </c>
      <c r="V191" s="15"/>
      <c r="W191" s="15"/>
      <c r="X191" s="15"/>
      <c r="Y191" s="15"/>
      <c r="Z191" s="15"/>
    </row>
    <row r="192" spans="1:26" x14ac:dyDescent="0.3">
      <c r="A192" t="s">
        <v>29</v>
      </c>
      <c r="B192">
        <v>8</v>
      </c>
      <c r="C192">
        <f t="shared" si="0"/>
        <v>606397</v>
      </c>
      <c r="D192">
        <f t="shared" si="0"/>
        <v>606397</v>
      </c>
      <c r="E192">
        <v>607978</v>
      </c>
      <c r="F192" s="169">
        <f t="shared" si="1"/>
        <v>622585</v>
      </c>
      <c r="G192" s="169">
        <f t="shared" si="1"/>
        <v>638040</v>
      </c>
      <c r="H192" s="169">
        <f t="shared" si="1"/>
        <v>677638</v>
      </c>
      <c r="I192" s="169">
        <v>697902</v>
      </c>
      <c r="J192" s="169">
        <v>682967</v>
      </c>
      <c r="K192" s="169">
        <v>668188</v>
      </c>
      <c r="L192" s="169">
        <v>677889</v>
      </c>
      <c r="M192" s="169">
        <v>670354</v>
      </c>
      <c r="N192" s="169">
        <v>644784</v>
      </c>
      <c r="O192" s="169">
        <v>623311</v>
      </c>
      <c r="P192" s="169">
        <v>602464</v>
      </c>
      <c r="Q192" s="15">
        <v>586966</v>
      </c>
      <c r="R192" s="15">
        <v>577472</v>
      </c>
      <c r="S192" s="15">
        <v>565745</v>
      </c>
      <c r="T192" s="15">
        <v>555659</v>
      </c>
      <c r="U192" s="15">
        <v>546621</v>
      </c>
      <c r="V192" s="15"/>
      <c r="W192" s="15"/>
      <c r="X192" s="15"/>
      <c r="Y192" s="15"/>
      <c r="Z192" s="15"/>
    </row>
    <row r="193" spans="1:26" x14ac:dyDescent="0.3">
      <c r="A193" t="s">
        <v>29</v>
      </c>
      <c r="B193">
        <v>9</v>
      </c>
      <c r="C193">
        <f t="shared" si="0"/>
        <v>583150</v>
      </c>
      <c r="D193">
        <f t="shared" si="0"/>
        <v>583150</v>
      </c>
      <c r="E193">
        <v>574454</v>
      </c>
      <c r="F193" s="169">
        <f t="shared" si="1"/>
        <v>604923</v>
      </c>
      <c r="G193" s="169">
        <f t="shared" si="1"/>
        <v>621891</v>
      </c>
      <c r="H193" s="169">
        <f t="shared" si="1"/>
        <v>644537</v>
      </c>
      <c r="I193" s="169">
        <v>665606</v>
      </c>
      <c r="J193" s="169">
        <v>679101</v>
      </c>
      <c r="K193" s="169">
        <v>664563</v>
      </c>
      <c r="L193" s="169">
        <v>650180</v>
      </c>
      <c r="M193" s="169">
        <v>659615</v>
      </c>
      <c r="N193" s="169">
        <v>652279</v>
      </c>
      <c r="O193" s="169">
        <v>627396</v>
      </c>
      <c r="P193" s="169">
        <v>606494</v>
      </c>
      <c r="Q193" s="15">
        <v>586209</v>
      </c>
      <c r="R193" s="15">
        <v>571125</v>
      </c>
      <c r="S193" s="15">
        <v>561883</v>
      </c>
      <c r="T193" s="15">
        <v>550469</v>
      </c>
      <c r="U193" s="15">
        <v>540652</v>
      </c>
      <c r="V193" s="15"/>
      <c r="W193" s="15"/>
      <c r="X193" s="15"/>
      <c r="Y193" s="15"/>
      <c r="Z193" s="15"/>
    </row>
    <row r="194" spans="1:26" x14ac:dyDescent="0.3">
      <c r="A194" t="s">
        <v>29</v>
      </c>
      <c r="B194">
        <v>10</v>
      </c>
      <c r="C194">
        <f t="shared" si="0"/>
        <v>557347</v>
      </c>
      <c r="D194">
        <f t="shared" si="0"/>
        <v>557347</v>
      </c>
      <c r="E194">
        <v>553444</v>
      </c>
      <c r="F194" s="169">
        <f t="shared" si="1"/>
        <v>581246</v>
      </c>
      <c r="G194" s="169">
        <f t="shared" si="1"/>
        <v>603149</v>
      </c>
      <c r="H194" s="169">
        <f t="shared" si="1"/>
        <v>626580</v>
      </c>
      <c r="I194" s="169">
        <v>632540</v>
      </c>
      <c r="J194" s="169">
        <v>638870</v>
      </c>
      <c r="K194" s="169">
        <v>651815</v>
      </c>
      <c r="L194" s="169">
        <v>637854</v>
      </c>
      <c r="M194" s="169">
        <v>624041</v>
      </c>
      <c r="N194" s="169">
        <v>633088</v>
      </c>
      <c r="O194" s="169">
        <v>626041</v>
      </c>
      <c r="P194" s="169">
        <v>602151</v>
      </c>
      <c r="Q194" s="15">
        <v>582085</v>
      </c>
      <c r="R194" s="15">
        <v>562613</v>
      </c>
      <c r="S194" s="15">
        <v>548134</v>
      </c>
      <c r="T194" s="15">
        <v>539261</v>
      </c>
      <c r="U194" s="15">
        <v>528304</v>
      </c>
      <c r="V194" s="15"/>
      <c r="W194" s="15"/>
      <c r="X194" s="15"/>
      <c r="Y194" s="15"/>
      <c r="Z194" s="15"/>
    </row>
    <row r="195" spans="1:26" x14ac:dyDescent="0.3">
      <c r="A195" t="s">
        <v>29</v>
      </c>
      <c r="B195">
        <v>11</v>
      </c>
      <c r="C195">
        <f t="shared" si="0"/>
        <v>543556</v>
      </c>
      <c r="D195">
        <f t="shared" si="0"/>
        <v>543556</v>
      </c>
      <c r="E195">
        <v>539181</v>
      </c>
      <c r="F195" s="169">
        <f t="shared" si="1"/>
        <v>558979</v>
      </c>
      <c r="G195" s="169">
        <f t="shared" si="1"/>
        <v>579984</v>
      </c>
      <c r="H195" s="169">
        <f t="shared" si="1"/>
        <v>606604</v>
      </c>
      <c r="I195" s="169">
        <v>614417</v>
      </c>
      <c r="J195" s="169">
        <v>611699</v>
      </c>
      <c r="K195" s="169">
        <v>617811</v>
      </c>
      <c r="L195" s="169">
        <v>630317</v>
      </c>
      <c r="M195" s="169">
        <v>616806</v>
      </c>
      <c r="N195" s="169">
        <v>603440</v>
      </c>
      <c r="O195" s="169">
        <v>612177</v>
      </c>
      <c r="P195" s="169">
        <v>605355</v>
      </c>
      <c r="Q195" s="15">
        <v>582248</v>
      </c>
      <c r="R195" s="15">
        <v>562845</v>
      </c>
      <c r="S195" s="15">
        <v>544014</v>
      </c>
      <c r="T195" s="15">
        <v>530009</v>
      </c>
      <c r="U195" s="15">
        <v>521428</v>
      </c>
      <c r="V195" s="15"/>
      <c r="W195" s="15"/>
      <c r="X195" s="15"/>
      <c r="Y195" s="15"/>
      <c r="Z195" s="15"/>
    </row>
    <row r="196" spans="1:26" x14ac:dyDescent="0.3">
      <c r="A196" t="s">
        <v>29</v>
      </c>
      <c r="B196">
        <v>12</v>
      </c>
      <c r="C196">
        <f t="shared" si="0"/>
        <v>533179</v>
      </c>
      <c r="D196">
        <f t="shared" si="0"/>
        <v>533179</v>
      </c>
      <c r="E196">
        <v>519634</v>
      </c>
      <c r="F196" s="169">
        <f t="shared" si="1"/>
        <v>548060</v>
      </c>
      <c r="G196" s="169">
        <f t="shared" si="1"/>
        <v>556591</v>
      </c>
      <c r="H196" s="169">
        <f t="shared" si="1"/>
        <v>581962</v>
      </c>
      <c r="I196" s="169">
        <v>594516</v>
      </c>
      <c r="J196" s="169">
        <v>597676</v>
      </c>
      <c r="K196" s="169">
        <v>595023</v>
      </c>
      <c r="L196" s="169">
        <v>600957</v>
      </c>
      <c r="M196" s="169">
        <v>613109</v>
      </c>
      <c r="N196" s="169">
        <v>599955</v>
      </c>
      <c r="O196" s="169">
        <v>586940</v>
      </c>
      <c r="P196" s="169">
        <v>595428</v>
      </c>
      <c r="Q196" s="15">
        <v>588788</v>
      </c>
      <c r="R196" s="15">
        <v>566313</v>
      </c>
      <c r="S196" s="15">
        <v>547437</v>
      </c>
      <c r="T196" s="15">
        <v>529120</v>
      </c>
      <c r="U196" s="15">
        <v>515496</v>
      </c>
      <c r="V196" s="15"/>
      <c r="W196" s="15"/>
      <c r="X196" s="15"/>
      <c r="Y196" s="15"/>
      <c r="Z196" s="15"/>
    </row>
    <row r="197" spans="1:26" x14ac:dyDescent="0.3">
      <c r="A197" t="s">
        <v>29</v>
      </c>
      <c r="B197">
        <v>13</v>
      </c>
      <c r="C197">
        <f t="shared" si="0"/>
        <v>521731</v>
      </c>
      <c r="D197">
        <f t="shared" si="0"/>
        <v>521731</v>
      </c>
      <c r="E197">
        <v>515270</v>
      </c>
      <c r="F197" s="169">
        <f t="shared" si="1"/>
        <v>518704</v>
      </c>
      <c r="G197" s="169">
        <f t="shared" si="1"/>
        <v>547357</v>
      </c>
      <c r="H197" s="169">
        <f t="shared" si="1"/>
        <v>558792</v>
      </c>
      <c r="I197" s="169">
        <v>571301</v>
      </c>
      <c r="J197" s="169">
        <v>573223</v>
      </c>
      <c r="K197" s="169">
        <v>576261</v>
      </c>
      <c r="L197" s="169">
        <v>573694</v>
      </c>
      <c r="M197" s="169">
        <v>579406</v>
      </c>
      <c r="N197" s="169">
        <v>591110</v>
      </c>
      <c r="O197" s="169">
        <v>578416</v>
      </c>
      <c r="P197" s="169">
        <v>565859</v>
      </c>
      <c r="Q197" s="15">
        <v>574035</v>
      </c>
      <c r="R197" s="15">
        <v>567635</v>
      </c>
      <c r="S197" s="15">
        <v>545966</v>
      </c>
      <c r="T197" s="15">
        <v>527766</v>
      </c>
      <c r="U197" s="15">
        <v>510105</v>
      </c>
      <c r="V197" s="15"/>
      <c r="W197" s="15"/>
      <c r="X197" s="15"/>
      <c r="Y197" s="15"/>
      <c r="Z197" s="15"/>
    </row>
    <row r="198" spans="1:26" x14ac:dyDescent="0.3">
      <c r="A198" t="s">
        <v>29</v>
      </c>
      <c r="B198">
        <v>14</v>
      </c>
      <c r="C198">
        <f t="shared" si="0"/>
        <v>507666</v>
      </c>
      <c r="D198">
        <f t="shared" si="0"/>
        <v>507666</v>
      </c>
      <c r="E198">
        <v>505735</v>
      </c>
      <c r="F198" s="169">
        <f t="shared" si="1"/>
        <v>511059</v>
      </c>
      <c r="G198" s="169">
        <f t="shared" si="1"/>
        <v>518595</v>
      </c>
      <c r="H198" s="169">
        <f t="shared" si="1"/>
        <v>548953</v>
      </c>
      <c r="I198" s="169">
        <v>548857</v>
      </c>
      <c r="J198" s="169">
        <v>539313</v>
      </c>
      <c r="K198" s="169">
        <v>541126</v>
      </c>
      <c r="L198" s="169">
        <v>543990</v>
      </c>
      <c r="M198" s="169">
        <v>541565</v>
      </c>
      <c r="N198" s="169">
        <v>546952</v>
      </c>
      <c r="O198" s="169">
        <v>557995</v>
      </c>
      <c r="P198" s="169">
        <v>546008</v>
      </c>
      <c r="Q198" s="15">
        <v>534150</v>
      </c>
      <c r="R198" s="15">
        <v>541868</v>
      </c>
      <c r="S198" s="15">
        <v>535826</v>
      </c>
      <c r="T198" s="15">
        <v>515370</v>
      </c>
      <c r="U198" s="15">
        <v>498187</v>
      </c>
      <c r="V198" s="15"/>
      <c r="W198" s="15"/>
      <c r="X198" s="15"/>
      <c r="Y198" s="15"/>
      <c r="Z198" s="15"/>
    </row>
    <row r="199" spans="1:26" x14ac:dyDescent="0.3">
      <c r="A199" t="s">
        <v>29</v>
      </c>
      <c r="B199">
        <v>15</v>
      </c>
      <c r="C199">
        <f t="shared" si="0"/>
        <v>484037</v>
      </c>
      <c r="D199">
        <f t="shared" si="0"/>
        <v>484037</v>
      </c>
      <c r="E199">
        <v>479189</v>
      </c>
      <c r="F199" s="169">
        <f t="shared" si="1"/>
        <v>504065</v>
      </c>
      <c r="G199" s="169">
        <f t="shared" si="1"/>
        <v>512433</v>
      </c>
      <c r="H199" s="169">
        <f t="shared" si="1"/>
        <v>522300</v>
      </c>
      <c r="I199" s="169">
        <v>540747</v>
      </c>
      <c r="J199" s="169">
        <v>536950</v>
      </c>
      <c r="K199" s="169">
        <v>527631</v>
      </c>
      <c r="L199" s="169">
        <v>529420</v>
      </c>
      <c r="M199" s="169">
        <v>532241</v>
      </c>
      <c r="N199" s="169">
        <v>529885</v>
      </c>
      <c r="O199" s="169">
        <v>535174</v>
      </c>
      <c r="P199" s="169">
        <v>545997</v>
      </c>
      <c r="Q199" s="15">
        <v>534270</v>
      </c>
      <c r="R199" s="15">
        <v>522670</v>
      </c>
      <c r="S199" s="15">
        <v>530225</v>
      </c>
      <c r="T199" s="15">
        <v>524316</v>
      </c>
      <c r="U199" s="15">
        <v>504301</v>
      </c>
      <c r="V199" s="15"/>
      <c r="W199" s="15"/>
      <c r="X199" s="15"/>
      <c r="Y199" s="15"/>
      <c r="Z199" s="15"/>
    </row>
    <row r="200" spans="1:26" x14ac:dyDescent="0.3">
      <c r="A200" t="s">
        <v>29</v>
      </c>
      <c r="B200">
        <v>16</v>
      </c>
      <c r="C200">
        <f t="shared" si="0"/>
        <v>492270</v>
      </c>
      <c r="D200">
        <f t="shared" si="0"/>
        <v>492270</v>
      </c>
      <c r="E200">
        <v>484175</v>
      </c>
      <c r="F200" s="169">
        <f t="shared" si="1"/>
        <v>496374</v>
      </c>
      <c r="G200" s="169">
        <f t="shared" si="1"/>
        <v>510972</v>
      </c>
      <c r="H200" s="169">
        <f t="shared" si="1"/>
        <v>521194</v>
      </c>
      <c r="I200" s="169">
        <v>520726</v>
      </c>
      <c r="J200" s="169">
        <v>515312</v>
      </c>
      <c r="K200" s="169">
        <v>511747</v>
      </c>
      <c r="L200" s="169">
        <v>502916</v>
      </c>
      <c r="M200" s="169">
        <v>504671</v>
      </c>
      <c r="N200" s="169">
        <v>507411</v>
      </c>
      <c r="O200" s="169">
        <v>505218</v>
      </c>
      <c r="P200" s="169">
        <v>510312</v>
      </c>
      <c r="Q200" s="15">
        <v>520648</v>
      </c>
      <c r="R200" s="15">
        <v>509473</v>
      </c>
      <c r="S200" s="15">
        <v>498415</v>
      </c>
      <c r="T200" s="15">
        <v>505624</v>
      </c>
      <c r="U200" s="15">
        <v>499995</v>
      </c>
      <c r="V200" s="15"/>
      <c r="W200" s="15"/>
      <c r="X200" s="15"/>
      <c r="Y200" s="15"/>
      <c r="Z200" s="15"/>
    </row>
    <row r="201" spans="1:26" x14ac:dyDescent="0.3">
      <c r="A201" t="s">
        <v>29</v>
      </c>
      <c r="B201">
        <v>17</v>
      </c>
      <c r="C201">
        <f t="shared" si="0"/>
        <v>518503</v>
      </c>
      <c r="D201">
        <f t="shared" si="0"/>
        <v>518503</v>
      </c>
      <c r="E201">
        <v>498354</v>
      </c>
      <c r="F201" s="169">
        <f t="shared" si="1"/>
        <v>488759</v>
      </c>
      <c r="G201" s="169">
        <f t="shared" si="1"/>
        <v>506827</v>
      </c>
      <c r="H201" s="169">
        <f t="shared" si="1"/>
        <v>522096</v>
      </c>
      <c r="I201" s="169">
        <v>523588</v>
      </c>
      <c r="J201" s="169">
        <v>509469</v>
      </c>
      <c r="K201" s="169">
        <v>504267</v>
      </c>
      <c r="L201" s="169">
        <v>500870</v>
      </c>
      <c r="M201" s="169">
        <v>492318</v>
      </c>
      <c r="N201" s="169">
        <v>494128</v>
      </c>
      <c r="O201" s="169">
        <v>496904</v>
      </c>
      <c r="P201" s="169">
        <v>494850</v>
      </c>
      <c r="Q201" s="15">
        <v>499876</v>
      </c>
      <c r="R201" s="15">
        <v>510007</v>
      </c>
      <c r="S201" s="15">
        <v>499065</v>
      </c>
      <c r="T201" s="15">
        <v>488237</v>
      </c>
      <c r="U201" s="15">
        <v>495303</v>
      </c>
      <c r="V201" s="15"/>
      <c r="W201" s="15"/>
      <c r="X201" s="15"/>
      <c r="Y201" s="15"/>
      <c r="Z201" s="15"/>
    </row>
    <row r="202" spans="1:26" x14ac:dyDescent="0.3">
      <c r="A202" t="s">
        <v>29</v>
      </c>
      <c r="B202">
        <v>18</v>
      </c>
      <c r="C202">
        <f t="shared" si="0"/>
        <v>528428</v>
      </c>
      <c r="D202">
        <f t="shared" si="0"/>
        <v>528428</v>
      </c>
      <c r="E202">
        <v>518221</v>
      </c>
      <c r="F202" s="169">
        <f t="shared" si="1"/>
        <v>478008</v>
      </c>
      <c r="G202" s="169">
        <f t="shared" si="1"/>
        <v>502195</v>
      </c>
      <c r="H202" s="169">
        <f t="shared" si="1"/>
        <v>524111</v>
      </c>
      <c r="I202" s="169">
        <v>532581</v>
      </c>
      <c r="J202" s="169">
        <v>527951</v>
      </c>
      <c r="K202" s="169">
        <v>513860</v>
      </c>
      <c r="L202" s="169">
        <v>508759</v>
      </c>
      <c r="M202" s="169">
        <v>505476</v>
      </c>
      <c r="N202" s="169">
        <v>496986</v>
      </c>
      <c r="O202" s="169">
        <v>498953</v>
      </c>
      <c r="P202" s="169">
        <v>501899</v>
      </c>
      <c r="Q202" s="15">
        <v>499888</v>
      </c>
      <c r="R202" s="15">
        <v>504971</v>
      </c>
      <c r="S202" s="15">
        <v>515208</v>
      </c>
      <c r="T202" s="15">
        <v>504159</v>
      </c>
      <c r="U202" s="15">
        <v>493226</v>
      </c>
      <c r="V202" s="15"/>
      <c r="W202" s="15"/>
      <c r="X202" s="15"/>
      <c r="Y202" s="15"/>
      <c r="Z202" s="15"/>
    </row>
    <row r="203" spans="1:26" x14ac:dyDescent="0.3">
      <c r="A203" t="s">
        <v>29</v>
      </c>
      <c r="B203">
        <v>19</v>
      </c>
      <c r="C203">
        <f t="shared" si="0"/>
        <v>563887</v>
      </c>
      <c r="D203">
        <f t="shared" si="0"/>
        <v>563887</v>
      </c>
      <c r="E203">
        <v>550302</v>
      </c>
      <c r="F203" s="169">
        <f t="shared" si="1"/>
        <v>519502</v>
      </c>
      <c r="G203" s="169">
        <f t="shared" si="1"/>
        <v>538352</v>
      </c>
      <c r="H203" s="169">
        <f t="shared" si="1"/>
        <v>565607</v>
      </c>
      <c r="I203" s="169">
        <v>578462</v>
      </c>
      <c r="J203" s="169">
        <v>571588</v>
      </c>
      <c r="K203" s="169">
        <v>566837</v>
      </c>
      <c r="L203" s="169">
        <v>551922</v>
      </c>
      <c r="M203" s="169">
        <v>546655</v>
      </c>
      <c r="N203" s="169">
        <v>543339</v>
      </c>
      <c r="O203" s="169">
        <v>534418</v>
      </c>
      <c r="P203" s="169">
        <v>536741</v>
      </c>
      <c r="Q203" s="15">
        <v>540005</v>
      </c>
      <c r="R203" s="15">
        <v>537847</v>
      </c>
      <c r="S203" s="15">
        <v>543318</v>
      </c>
      <c r="T203" s="15">
        <v>554335</v>
      </c>
      <c r="U203" s="15">
        <v>542449</v>
      </c>
      <c r="V203" s="15"/>
      <c r="W203" s="15"/>
      <c r="X203" s="15"/>
      <c r="Y203" s="15"/>
      <c r="Z203" s="15"/>
    </row>
    <row r="204" spans="1:26" x14ac:dyDescent="0.3">
      <c r="A204" t="s">
        <v>29</v>
      </c>
      <c r="B204">
        <v>20</v>
      </c>
      <c r="C204">
        <f t="shared" ref="C204:D223" si="4">C22+C113</f>
        <v>609234</v>
      </c>
      <c r="D204">
        <f t="shared" si="4"/>
        <v>609234</v>
      </c>
      <c r="E204">
        <v>600165</v>
      </c>
      <c r="F204" s="169">
        <f t="shared" si="1"/>
        <v>591204</v>
      </c>
      <c r="G204" s="169">
        <f t="shared" si="1"/>
        <v>581071</v>
      </c>
      <c r="H204" s="169">
        <f t="shared" si="1"/>
        <v>593793</v>
      </c>
      <c r="I204" s="169">
        <v>603459</v>
      </c>
      <c r="J204" s="169">
        <v>594681</v>
      </c>
      <c r="K204" s="169">
        <v>587896</v>
      </c>
      <c r="L204" s="169">
        <v>583278</v>
      </c>
      <c r="M204" s="169">
        <v>568197</v>
      </c>
      <c r="N204" s="169">
        <v>563041</v>
      </c>
      <c r="O204" s="169">
        <v>559888</v>
      </c>
      <c r="P204" s="169">
        <v>550953</v>
      </c>
      <c r="Q204" s="15">
        <v>553473</v>
      </c>
      <c r="R204" s="15">
        <v>556847</v>
      </c>
      <c r="S204" s="15">
        <v>554628</v>
      </c>
      <c r="T204" s="15">
        <v>560274</v>
      </c>
      <c r="U204" s="15">
        <v>571637</v>
      </c>
      <c r="V204" s="15"/>
      <c r="W204" s="15"/>
      <c r="X204" s="15"/>
      <c r="Y204" s="15"/>
      <c r="Z204" s="15"/>
    </row>
    <row r="205" spans="1:26" x14ac:dyDescent="0.3">
      <c r="A205" t="s">
        <v>29</v>
      </c>
      <c r="B205">
        <v>21</v>
      </c>
      <c r="C205">
        <f t="shared" si="4"/>
        <v>612221</v>
      </c>
      <c r="D205">
        <f t="shared" si="4"/>
        <v>612221</v>
      </c>
      <c r="E205">
        <v>611603</v>
      </c>
      <c r="F205" s="169">
        <f t="shared" si="1"/>
        <v>605330</v>
      </c>
      <c r="G205" s="169">
        <f t="shared" si="1"/>
        <v>623760</v>
      </c>
      <c r="H205" s="169">
        <f t="shared" si="1"/>
        <v>604894</v>
      </c>
      <c r="I205" s="169">
        <v>599144</v>
      </c>
      <c r="J205" s="169">
        <v>588325</v>
      </c>
      <c r="K205" s="169">
        <v>580068</v>
      </c>
      <c r="L205" s="169">
        <v>573746</v>
      </c>
      <c r="M205" s="169">
        <v>569539</v>
      </c>
      <c r="N205" s="169">
        <v>555102</v>
      </c>
      <c r="O205" s="169">
        <v>550350</v>
      </c>
      <c r="P205" s="169">
        <v>547552</v>
      </c>
      <c r="Q205" s="15">
        <v>538952</v>
      </c>
      <c r="R205" s="15">
        <v>541425</v>
      </c>
      <c r="S205" s="15">
        <v>544734</v>
      </c>
      <c r="T205" s="15">
        <v>542572</v>
      </c>
      <c r="U205" s="15">
        <v>548101</v>
      </c>
      <c r="V205" s="15"/>
      <c r="W205" s="15"/>
      <c r="X205" s="15"/>
      <c r="Y205" s="15"/>
      <c r="Z205" s="15"/>
    </row>
    <row r="206" spans="1:26" x14ac:dyDescent="0.3">
      <c r="A206" t="s">
        <v>29</v>
      </c>
      <c r="B206">
        <v>22</v>
      </c>
      <c r="C206">
        <f t="shared" si="4"/>
        <v>641801</v>
      </c>
      <c r="D206">
        <f t="shared" si="4"/>
        <v>641801</v>
      </c>
      <c r="E206">
        <v>646967</v>
      </c>
      <c r="F206" s="169">
        <f t="shared" si="1"/>
        <v>613815</v>
      </c>
      <c r="G206" s="169">
        <f t="shared" si="1"/>
        <v>660153</v>
      </c>
      <c r="H206" s="169">
        <f t="shared" si="1"/>
        <v>669374</v>
      </c>
      <c r="I206" s="169">
        <v>626856</v>
      </c>
      <c r="J206" s="169">
        <v>614010</v>
      </c>
      <c r="K206" s="169">
        <v>603238</v>
      </c>
      <c r="L206" s="169">
        <v>595085</v>
      </c>
      <c r="M206" s="169">
        <v>588911</v>
      </c>
      <c r="N206" s="169">
        <v>584913</v>
      </c>
      <c r="O206" s="169">
        <v>570390</v>
      </c>
      <c r="P206" s="169">
        <v>565810</v>
      </c>
      <c r="Q206" s="15">
        <v>563085</v>
      </c>
      <c r="R206" s="15">
        <v>554246</v>
      </c>
      <c r="S206" s="15">
        <v>556794</v>
      </c>
      <c r="T206" s="15">
        <v>560205</v>
      </c>
      <c r="U206" s="15">
        <v>557989</v>
      </c>
      <c r="V206" s="15"/>
      <c r="W206" s="15"/>
      <c r="X206" s="15"/>
      <c r="Y206" s="15"/>
      <c r="Z206" s="15"/>
    </row>
    <row r="207" spans="1:26" x14ac:dyDescent="0.3">
      <c r="A207" t="s">
        <v>29</v>
      </c>
      <c r="B207">
        <v>23</v>
      </c>
      <c r="C207">
        <f t="shared" si="4"/>
        <v>684375</v>
      </c>
      <c r="D207">
        <f t="shared" si="4"/>
        <v>684375</v>
      </c>
      <c r="E207">
        <v>689184</v>
      </c>
      <c r="F207" s="169">
        <f t="shared" si="1"/>
        <v>660913</v>
      </c>
      <c r="G207" s="169">
        <f t="shared" si="1"/>
        <v>672729</v>
      </c>
      <c r="H207" s="169">
        <f t="shared" si="1"/>
        <v>709614</v>
      </c>
      <c r="I207" s="169">
        <v>693282</v>
      </c>
      <c r="J207" s="169">
        <v>678886</v>
      </c>
      <c r="K207" s="169">
        <v>665314</v>
      </c>
      <c r="L207" s="169">
        <v>653978</v>
      </c>
      <c r="M207" s="169">
        <v>645470</v>
      </c>
      <c r="N207" s="169">
        <v>639107</v>
      </c>
      <c r="O207" s="169">
        <v>635109</v>
      </c>
      <c r="P207" s="169">
        <v>619666</v>
      </c>
      <c r="Q207" s="15">
        <v>614857</v>
      </c>
      <c r="R207" s="15">
        <v>611901</v>
      </c>
      <c r="S207" s="15">
        <v>602302</v>
      </c>
      <c r="T207" s="15">
        <v>605076</v>
      </c>
      <c r="U207" s="15">
        <v>608787</v>
      </c>
      <c r="V207" s="15"/>
      <c r="W207" s="15"/>
      <c r="X207" s="15"/>
      <c r="Y207" s="15"/>
      <c r="Z207" s="15"/>
    </row>
    <row r="208" spans="1:26" x14ac:dyDescent="0.3">
      <c r="A208" t="s">
        <v>29</v>
      </c>
      <c r="B208">
        <v>24</v>
      </c>
      <c r="C208">
        <f t="shared" si="4"/>
        <v>679361</v>
      </c>
      <c r="D208">
        <f t="shared" si="4"/>
        <v>679361</v>
      </c>
      <c r="E208">
        <v>685081</v>
      </c>
      <c r="F208" s="169">
        <f t="shared" si="1"/>
        <v>664085</v>
      </c>
      <c r="G208" s="169">
        <f t="shared" si="1"/>
        <v>696668</v>
      </c>
      <c r="H208" s="169">
        <f t="shared" si="1"/>
        <v>695654</v>
      </c>
      <c r="I208" s="169">
        <v>705514</v>
      </c>
      <c r="J208" s="169">
        <v>697813</v>
      </c>
      <c r="K208" s="169">
        <v>683656</v>
      </c>
      <c r="L208" s="169">
        <v>670317</v>
      </c>
      <c r="M208" s="169">
        <v>659218</v>
      </c>
      <c r="N208" s="169">
        <v>650964</v>
      </c>
      <c r="O208" s="169">
        <v>644865</v>
      </c>
      <c r="P208" s="169">
        <v>641160</v>
      </c>
      <c r="Q208" s="15">
        <v>625734</v>
      </c>
      <c r="R208" s="15">
        <v>620885</v>
      </c>
      <c r="S208" s="15">
        <v>617904</v>
      </c>
      <c r="T208" s="15">
        <v>608213</v>
      </c>
      <c r="U208" s="15">
        <v>611019</v>
      </c>
      <c r="V208" s="15"/>
      <c r="W208" s="15"/>
      <c r="X208" s="15"/>
      <c r="Y208" s="15"/>
      <c r="Z208" s="15"/>
    </row>
    <row r="209" spans="1:26" x14ac:dyDescent="0.3">
      <c r="A209" t="s">
        <v>29</v>
      </c>
      <c r="B209">
        <v>25</v>
      </c>
      <c r="C209">
        <f t="shared" si="4"/>
        <v>696867</v>
      </c>
      <c r="D209">
        <f t="shared" si="4"/>
        <v>696867</v>
      </c>
      <c r="E209">
        <v>699827</v>
      </c>
      <c r="F209" s="169">
        <f t="shared" si="1"/>
        <v>689847</v>
      </c>
      <c r="G209" s="169">
        <f t="shared" si="1"/>
        <v>718328</v>
      </c>
      <c r="H209" s="169">
        <f t="shared" si="1"/>
        <v>740705</v>
      </c>
      <c r="I209" s="169">
        <v>709615</v>
      </c>
      <c r="J209" s="169">
        <v>707246</v>
      </c>
      <c r="K209" s="169">
        <v>699846</v>
      </c>
      <c r="L209" s="169">
        <v>685955</v>
      </c>
      <c r="M209" s="169">
        <v>672875</v>
      </c>
      <c r="N209" s="169">
        <v>662033</v>
      </c>
      <c r="O209" s="169">
        <v>654044</v>
      </c>
      <c r="P209" s="169">
        <v>648216</v>
      </c>
      <c r="Q209" s="15">
        <v>644662</v>
      </c>
      <c r="R209" s="15">
        <v>629157</v>
      </c>
      <c r="S209" s="15">
        <v>624287</v>
      </c>
      <c r="T209" s="15">
        <v>621295</v>
      </c>
      <c r="U209" s="15">
        <v>611552</v>
      </c>
      <c r="V209" s="15"/>
      <c r="W209" s="15"/>
      <c r="X209" s="15"/>
      <c r="Y209" s="15"/>
      <c r="Z209" s="15"/>
    </row>
    <row r="210" spans="1:26" x14ac:dyDescent="0.3">
      <c r="A210" t="s">
        <v>29</v>
      </c>
      <c r="B210">
        <v>26</v>
      </c>
      <c r="C210">
        <f t="shared" si="4"/>
        <v>746778</v>
      </c>
      <c r="D210">
        <f t="shared" si="4"/>
        <v>746778</v>
      </c>
      <c r="E210">
        <v>744028</v>
      </c>
      <c r="F210" s="169">
        <f t="shared" si="1"/>
        <v>723795</v>
      </c>
      <c r="G210" s="169">
        <f t="shared" si="1"/>
        <v>751235</v>
      </c>
      <c r="H210" s="169">
        <f t="shared" si="1"/>
        <v>769367</v>
      </c>
      <c r="I210" s="169">
        <v>763020</v>
      </c>
      <c r="J210" s="169">
        <v>761492</v>
      </c>
      <c r="K210" s="169">
        <v>759272</v>
      </c>
      <c r="L210" s="169">
        <v>751647</v>
      </c>
      <c r="M210" s="169">
        <v>737035</v>
      </c>
      <c r="N210" s="169">
        <v>723283</v>
      </c>
      <c r="O210" s="169">
        <v>711930</v>
      </c>
      <c r="P210" s="169">
        <v>703638</v>
      </c>
      <c r="Q210" s="15">
        <v>697524</v>
      </c>
      <c r="R210" s="15">
        <v>693716</v>
      </c>
      <c r="S210" s="15">
        <v>677038</v>
      </c>
      <c r="T210" s="15">
        <v>671802</v>
      </c>
      <c r="U210" s="15">
        <v>668588</v>
      </c>
      <c r="V210" s="15"/>
      <c r="W210" s="15"/>
      <c r="X210" s="15"/>
      <c r="Y210" s="15"/>
      <c r="Z210" s="15"/>
    </row>
    <row r="211" spans="1:26" x14ac:dyDescent="0.3">
      <c r="A211" t="s">
        <v>29</v>
      </c>
      <c r="B211">
        <v>27</v>
      </c>
      <c r="C211">
        <f t="shared" si="4"/>
        <v>786296</v>
      </c>
      <c r="D211">
        <f t="shared" si="4"/>
        <v>786296</v>
      </c>
      <c r="E211">
        <v>779730</v>
      </c>
      <c r="F211" s="169">
        <f t="shared" si="1"/>
        <v>745334</v>
      </c>
      <c r="G211" s="169">
        <f t="shared" si="1"/>
        <v>782060</v>
      </c>
      <c r="H211" s="169">
        <f t="shared" si="1"/>
        <v>800683</v>
      </c>
      <c r="I211" s="169">
        <v>790478</v>
      </c>
      <c r="J211" s="169">
        <v>788707</v>
      </c>
      <c r="K211" s="169">
        <v>787434</v>
      </c>
      <c r="L211" s="169">
        <v>785442</v>
      </c>
      <c r="M211" s="169">
        <v>777857</v>
      </c>
      <c r="N211" s="169">
        <v>763027</v>
      </c>
      <c r="O211" s="169">
        <v>749077</v>
      </c>
      <c r="P211" s="169">
        <v>737603</v>
      </c>
      <c r="Q211" s="15">
        <v>729162</v>
      </c>
      <c r="R211" s="15">
        <v>722831</v>
      </c>
      <c r="S211" s="15">
        <v>718898</v>
      </c>
      <c r="T211" s="15">
        <v>701618</v>
      </c>
      <c r="U211" s="15">
        <v>696198</v>
      </c>
      <c r="V211" s="15"/>
      <c r="W211" s="15"/>
      <c r="X211" s="15"/>
      <c r="Y211" s="15"/>
      <c r="Z211" s="15"/>
    </row>
    <row r="212" spans="1:26" x14ac:dyDescent="0.3">
      <c r="A212" t="s">
        <v>29</v>
      </c>
      <c r="B212">
        <v>28</v>
      </c>
      <c r="C212">
        <f t="shared" si="4"/>
        <v>825184</v>
      </c>
      <c r="D212">
        <f t="shared" si="4"/>
        <v>825184</v>
      </c>
      <c r="E212">
        <v>820211</v>
      </c>
      <c r="F212" s="169">
        <f t="shared" si="1"/>
        <v>766696</v>
      </c>
      <c r="G212" s="169">
        <f t="shared" si="1"/>
        <v>801551</v>
      </c>
      <c r="H212" s="169">
        <f t="shared" si="1"/>
        <v>828188</v>
      </c>
      <c r="I212" s="169">
        <v>818268</v>
      </c>
      <c r="J212" s="169">
        <v>817484</v>
      </c>
      <c r="K212" s="169">
        <v>815933</v>
      </c>
      <c r="L212" s="169">
        <v>814895</v>
      </c>
      <c r="M212" s="169">
        <v>813112</v>
      </c>
      <c r="N212" s="169">
        <v>805538</v>
      </c>
      <c r="O212" s="169">
        <v>790447</v>
      </c>
      <c r="P212" s="169">
        <v>776262</v>
      </c>
      <c r="Q212" s="15">
        <v>764507</v>
      </c>
      <c r="R212" s="15">
        <v>755758</v>
      </c>
      <c r="S212" s="15">
        <v>749196</v>
      </c>
      <c r="T212" s="15">
        <v>745133</v>
      </c>
      <c r="U212" s="15">
        <v>727228</v>
      </c>
      <c r="V212" s="15"/>
      <c r="W212" s="15"/>
      <c r="X212" s="15"/>
      <c r="Y212" s="15"/>
      <c r="Z212" s="15"/>
    </row>
    <row r="213" spans="1:26" x14ac:dyDescent="0.3">
      <c r="A213" t="s">
        <v>29</v>
      </c>
      <c r="B213">
        <v>29</v>
      </c>
      <c r="C213">
        <f t="shared" si="4"/>
        <v>897002</v>
      </c>
      <c r="D213">
        <f t="shared" si="4"/>
        <v>897002</v>
      </c>
      <c r="E213">
        <v>892742</v>
      </c>
      <c r="F213" s="169">
        <f t="shared" si="1"/>
        <v>814817</v>
      </c>
      <c r="G213" s="169">
        <f t="shared" si="1"/>
        <v>810762</v>
      </c>
      <c r="H213" s="169">
        <f t="shared" si="1"/>
        <v>839406</v>
      </c>
      <c r="I213" s="169">
        <v>839192</v>
      </c>
      <c r="J213" s="169">
        <v>839183</v>
      </c>
      <c r="K213" s="169">
        <v>838647</v>
      </c>
      <c r="L213" s="169">
        <v>837317</v>
      </c>
      <c r="M213" s="169">
        <v>836515</v>
      </c>
      <c r="N213" s="169">
        <v>834949</v>
      </c>
      <c r="O213" s="169">
        <v>827430</v>
      </c>
      <c r="P213" s="169">
        <v>812184</v>
      </c>
      <c r="Q213" s="15">
        <v>797741</v>
      </c>
      <c r="R213" s="15">
        <v>785664</v>
      </c>
      <c r="S213" s="15">
        <v>776677</v>
      </c>
      <c r="T213" s="15">
        <v>769939</v>
      </c>
      <c r="U213" s="15">
        <v>765771</v>
      </c>
      <c r="V213" s="15"/>
      <c r="W213" s="15"/>
      <c r="X213" s="15"/>
      <c r="Y213" s="15"/>
      <c r="Z213" s="15"/>
    </row>
    <row r="214" spans="1:26" x14ac:dyDescent="0.3">
      <c r="A214" t="s">
        <v>29</v>
      </c>
      <c r="B214">
        <v>30</v>
      </c>
      <c r="C214">
        <f t="shared" si="4"/>
        <v>929891</v>
      </c>
      <c r="D214">
        <f t="shared" si="4"/>
        <v>929891</v>
      </c>
      <c r="E214">
        <v>925993</v>
      </c>
      <c r="F214" s="169">
        <f t="shared" si="1"/>
        <v>831621</v>
      </c>
      <c r="G214" s="169">
        <f t="shared" si="1"/>
        <v>855641</v>
      </c>
      <c r="H214" s="169">
        <f t="shared" si="1"/>
        <v>845112</v>
      </c>
      <c r="I214" s="169">
        <v>845976</v>
      </c>
      <c r="J214" s="169">
        <v>846272</v>
      </c>
      <c r="K214" s="169">
        <v>846508</v>
      </c>
      <c r="L214" s="169">
        <v>846211</v>
      </c>
      <c r="M214" s="169">
        <v>845112</v>
      </c>
      <c r="N214" s="169">
        <v>844545</v>
      </c>
      <c r="O214" s="169">
        <v>843206</v>
      </c>
      <c r="P214" s="169">
        <v>835854</v>
      </c>
      <c r="Q214" s="15">
        <v>820582</v>
      </c>
      <c r="R214" s="15">
        <v>806002</v>
      </c>
      <c r="S214" s="15">
        <v>793809</v>
      </c>
      <c r="T214" s="15">
        <v>784739</v>
      </c>
      <c r="U214" s="15">
        <v>777938</v>
      </c>
      <c r="V214" s="15"/>
      <c r="W214" s="15"/>
      <c r="X214" s="15"/>
      <c r="Y214" s="15"/>
      <c r="Z214" s="15"/>
    </row>
    <row r="215" spans="1:26" x14ac:dyDescent="0.3">
      <c r="A215" t="s">
        <v>29</v>
      </c>
      <c r="B215">
        <v>31</v>
      </c>
      <c r="C215">
        <f t="shared" si="4"/>
        <v>938241</v>
      </c>
      <c r="D215">
        <f t="shared" si="4"/>
        <v>938241</v>
      </c>
      <c r="E215">
        <v>935181</v>
      </c>
      <c r="F215" s="169">
        <f t="shared" si="1"/>
        <v>893588</v>
      </c>
      <c r="G215" s="169">
        <f>G33+G124</f>
        <v>871011</v>
      </c>
      <c r="H215" s="169">
        <f>H33+H124</f>
        <v>888494</v>
      </c>
      <c r="I215" s="169">
        <v>852318</v>
      </c>
      <c r="J215" s="169">
        <v>854392</v>
      </c>
      <c r="K215" s="169">
        <v>854916</v>
      </c>
      <c r="L215" s="169">
        <v>855377</v>
      </c>
      <c r="M215" s="169">
        <v>855299</v>
      </c>
      <c r="N215" s="169">
        <v>854411</v>
      </c>
      <c r="O215" s="169">
        <v>854060</v>
      </c>
      <c r="P215" s="169">
        <v>852928</v>
      </c>
      <c r="Q215" s="15">
        <v>845615</v>
      </c>
      <c r="R215" s="15">
        <v>830184</v>
      </c>
      <c r="S215" s="15">
        <v>815449</v>
      </c>
      <c r="T215" s="15">
        <v>803128</v>
      </c>
      <c r="U215" s="15">
        <v>793963</v>
      </c>
      <c r="V215" s="15"/>
      <c r="W215" s="15"/>
      <c r="X215" s="15"/>
      <c r="Y215" s="15"/>
      <c r="Z215" s="15"/>
    </row>
    <row r="216" spans="1:26" x14ac:dyDescent="0.3">
      <c r="A216" t="s">
        <v>29</v>
      </c>
      <c r="B216">
        <v>32</v>
      </c>
      <c r="C216">
        <f t="shared" si="4"/>
        <v>968357</v>
      </c>
      <c r="D216">
        <f t="shared" si="4"/>
        <v>968357</v>
      </c>
      <c r="E216">
        <v>966413</v>
      </c>
      <c r="F216" s="169">
        <f t="shared" ref="F216:H247" si="5">F34+F125</f>
        <v>936316</v>
      </c>
      <c r="G216" s="169">
        <f t="shared" si="5"/>
        <v>933493</v>
      </c>
      <c r="H216" s="169">
        <f t="shared" si="5"/>
        <v>901584</v>
      </c>
      <c r="I216" s="169">
        <v>894445</v>
      </c>
      <c r="J216" s="169">
        <v>896444</v>
      </c>
      <c r="K216" s="169">
        <v>898834</v>
      </c>
      <c r="L216" s="169">
        <v>899591</v>
      </c>
      <c r="M216" s="169">
        <v>900284</v>
      </c>
      <c r="N216" s="169">
        <v>900407</v>
      </c>
      <c r="O216" s="169">
        <v>899682</v>
      </c>
      <c r="P216" s="169">
        <v>899519</v>
      </c>
      <c r="Q216" s="15">
        <v>898446</v>
      </c>
      <c r="R216" s="15">
        <v>890760</v>
      </c>
      <c r="S216" s="15">
        <v>874522</v>
      </c>
      <c r="T216" s="15">
        <v>859016</v>
      </c>
      <c r="U216" s="15">
        <v>846050</v>
      </c>
      <c r="V216" s="15"/>
      <c r="W216" s="15"/>
      <c r="X216" s="15"/>
      <c r="Y216" s="15"/>
      <c r="Z216" s="15"/>
    </row>
    <row r="217" spans="1:26" x14ac:dyDescent="0.3">
      <c r="A217" t="s">
        <v>29</v>
      </c>
      <c r="B217">
        <v>33</v>
      </c>
      <c r="C217">
        <f t="shared" si="4"/>
        <v>951733</v>
      </c>
      <c r="D217">
        <f t="shared" si="4"/>
        <v>951733</v>
      </c>
      <c r="E217">
        <v>950682</v>
      </c>
      <c r="F217" s="169">
        <f t="shared" si="5"/>
        <v>944336</v>
      </c>
      <c r="G217" s="169">
        <f t="shared" si="5"/>
        <v>973371</v>
      </c>
      <c r="H217" s="169">
        <f t="shared" si="5"/>
        <v>962884</v>
      </c>
      <c r="I217" s="169">
        <v>904410</v>
      </c>
      <c r="J217" s="169">
        <v>902050</v>
      </c>
      <c r="K217" s="169">
        <v>904251</v>
      </c>
      <c r="L217" s="169">
        <v>906846</v>
      </c>
      <c r="M217" s="169">
        <v>907794</v>
      </c>
      <c r="N217" s="169">
        <v>908677</v>
      </c>
      <c r="O217" s="169">
        <v>908985</v>
      </c>
      <c r="P217" s="169">
        <v>908439</v>
      </c>
      <c r="Q217" s="15">
        <v>908383</v>
      </c>
      <c r="R217" s="15">
        <v>907318</v>
      </c>
      <c r="S217" s="15">
        <v>899574</v>
      </c>
      <c r="T217" s="15">
        <v>883193</v>
      </c>
      <c r="U217" s="15">
        <v>867547</v>
      </c>
      <c r="V217" s="15"/>
      <c r="W217" s="15"/>
      <c r="X217" s="15"/>
      <c r="Y217" s="15"/>
      <c r="Z217" s="15"/>
    </row>
    <row r="218" spans="1:26" x14ac:dyDescent="0.3">
      <c r="A218" t="s">
        <v>29</v>
      </c>
      <c r="B218">
        <v>34</v>
      </c>
      <c r="C218">
        <f t="shared" si="4"/>
        <v>969313</v>
      </c>
      <c r="D218">
        <f t="shared" si="4"/>
        <v>969313</v>
      </c>
      <c r="E218">
        <v>968808</v>
      </c>
      <c r="F218" s="169">
        <f t="shared" si="5"/>
        <v>958556</v>
      </c>
      <c r="G218" s="169">
        <f t="shared" si="5"/>
        <v>973431</v>
      </c>
      <c r="H218" s="169">
        <f t="shared" si="5"/>
        <v>995878</v>
      </c>
      <c r="I218" s="169">
        <v>958306</v>
      </c>
      <c r="J218" s="169">
        <v>949351</v>
      </c>
      <c r="K218" s="169">
        <v>947044</v>
      </c>
      <c r="L218" s="169">
        <v>949525</v>
      </c>
      <c r="M218" s="169">
        <v>952419</v>
      </c>
      <c r="N218" s="169">
        <v>953584</v>
      </c>
      <c r="O218" s="169">
        <v>954682</v>
      </c>
      <c r="P218" s="169">
        <v>955175</v>
      </c>
      <c r="Q218" s="15">
        <v>954704</v>
      </c>
      <c r="R218" s="15">
        <v>954665</v>
      </c>
      <c r="S218" s="15">
        <v>953565</v>
      </c>
      <c r="T218" s="15">
        <v>945444</v>
      </c>
      <c r="U218" s="15">
        <v>928243</v>
      </c>
      <c r="V218" s="15"/>
      <c r="W218" s="15"/>
      <c r="X218" s="15"/>
      <c r="Y218" s="15"/>
      <c r="Z218" s="15"/>
    </row>
    <row r="219" spans="1:26" x14ac:dyDescent="0.3">
      <c r="A219" t="s">
        <v>29</v>
      </c>
      <c r="B219">
        <v>35</v>
      </c>
      <c r="C219">
        <f t="shared" si="4"/>
        <v>1023899</v>
      </c>
      <c r="D219">
        <f t="shared" si="4"/>
        <v>1023899</v>
      </c>
      <c r="E219">
        <v>1028116</v>
      </c>
      <c r="F219" s="169">
        <f t="shared" si="5"/>
        <v>965445</v>
      </c>
      <c r="G219" s="169">
        <f t="shared" si="5"/>
        <v>986963</v>
      </c>
      <c r="H219" s="169">
        <f t="shared" si="5"/>
        <v>995970</v>
      </c>
      <c r="I219" s="169">
        <v>992602</v>
      </c>
      <c r="J219" s="169">
        <v>978920</v>
      </c>
      <c r="K219" s="169">
        <v>969933</v>
      </c>
      <c r="L219" s="169">
        <v>967734</v>
      </c>
      <c r="M219" s="169">
        <v>970425</v>
      </c>
      <c r="N219" s="169">
        <v>973539</v>
      </c>
      <c r="O219" s="169">
        <v>974886</v>
      </c>
      <c r="P219" s="169">
        <v>976167</v>
      </c>
      <c r="Q219" s="15">
        <v>976773</v>
      </c>
      <c r="R219" s="15">
        <v>976325</v>
      </c>
      <c r="S219" s="15">
        <v>976316</v>
      </c>
      <c r="T219" s="15">
        <v>975223</v>
      </c>
      <c r="U219" s="15">
        <v>966945</v>
      </c>
      <c r="V219" s="15"/>
      <c r="W219" s="15"/>
      <c r="X219" s="15"/>
      <c r="Y219" s="15"/>
      <c r="Z219" s="15"/>
    </row>
    <row r="220" spans="1:26" x14ac:dyDescent="0.3">
      <c r="A220" t="s">
        <v>29</v>
      </c>
      <c r="B220">
        <v>36</v>
      </c>
      <c r="C220">
        <f t="shared" si="4"/>
        <v>1045943</v>
      </c>
      <c r="D220">
        <f t="shared" si="4"/>
        <v>1045943</v>
      </c>
      <c r="E220">
        <v>1057133</v>
      </c>
      <c r="F220" s="169">
        <f t="shared" si="5"/>
        <v>942072</v>
      </c>
      <c r="G220" s="169">
        <f t="shared" si="5"/>
        <v>992712</v>
      </c>
      <c r="H220" s="169">
        <f t="shared" si="5"/>
        <v>1008429</v>
      </c>
      <c r="I220" s="169">
        <v>992518</v>
      </c>
      <c r="J220" s="169">
        <v>978353</v>
      </c>
      <c r="K220" s="169">
        <v>965012</v>
      </c>
      <c r="L220" s="169">
        <v>956292</v>
      </c>
      <c r="M220" s="169">
        <v>954263</v>
      </c>
      <c r="N220" s="169">
        <v>957055</v>
      </c>
      <c r="O220" s="169">
        <v>960265</v>
      </c>
      <c r="P220" s="169">
        <v>961730</v>
      </c>
      <c r="Q220" s="15">
        <v>963084</v>
      </c>
      <c r="R220" s="15">
        <v>963715</v>
      </c>
      <c r="S220" s="15">
        <v>963306</v>
      </c>
      <c r="T220" s="15">
        <v>963330</v>
      </c>
      <c r="U220" s="15">
        <v>962283</v>
      </c>
      <c r="V220" s="15"/>
      <c r="W220" s="15"/>
      <c r="X220" s="15"/>
      <c r="Y220" s="15"/>
      <c r="Z220" s="15"/>
    </row>
    <row r="221" spans="1:26" x14ac:dyDescent="0.3">
      <c r="A221" t="s">
        <v>29</v>
      </c>
      <c r="B221">
        <v>37</v>
      </c>
      <c r="C221">
        <f t="shared" si="4"/>
        <v>975706</v>
      </c>
      <c r="D221">
        <f t="shared" si="4"/>
        <v>975706</v>
      </c>
      <c r="E221">
        <v>991008</v>
      </c>
      <c r="F221" s="169">
        <f t="shared" si="5"/>
        <v>984971</v>
      </c>
      <c r="G221" s="169">
        <f t="shared" si="5"/>
        <v>967173</v>
      </c>
      <c r="H221" s="169">
        <f t="shared" si="5"/>
        <v>1014035</v>
      </c>
      <c r="I221" s="169">
        <v>1005145</v>
      </c>
      <c r="J221" s="169">
        <v>993944</v>
      </c>
      <c r="K221" s="169">
        <v>979890</v>
      </c>
      <c r="L221" s="169">
        <v>966657</v>
      </c>
      <c r="M221" s="169">
        <v>958048</v>
      </c>
      <c r="N221" s="169">
        <v>956142</v>
      </c>
      <c r="O221" s="169">
        <v>959064</v>
      </c>
      <c r="P221" s="169">
        <v>962402</v>
      </c>
      <c r="Q221" s="15">
        <v>963952</v>
      </c>
      <c r="R221" s="15">
        <v>965343</v>
      </c>
      <c r="S221" s="15">
        <v>966013</v>
      </c>
      <c r="T221" s="15">
        <v>965643</v>
      </c>
      <c r="U221" s="15">
        <v>965710</v>
      </c>
      <c r="V221" s="15"/>
      <c r="W221" s="15"/>
      <c r="X221" s="15"/>
      <c r="Y221" s="15"/>
      <c r="Z221" s="15"/>
    </row>
    <row r="222" spans="1:26" x14ac:dyDescent="0.3">
      <c r="A222" t="s">
        <v>29</v>
      </c>
      <c r="B222">
        <v>38</v>
      </c>
      <c r="C222">
        <f t="shared" si="4"/>
        <v>950866</v>
      </c>
      <c r="D222">
        <f t="shared" si="4"/>
        <v>950866</v>
      </c>
      <c r="E222">
        <v>966319</v>
      </c>
      <c r="F222" s="169">
        <f t="shared" si="5"/>
        <v>1026988</v>
      </c>
      <c r="G222" s="169">
        <f t="shared" si="5"/>
        <v>1007628</v>
      </c>
      <c r="H222" s="169">
        <f t="shared" si="5"/>
        <v>985932</v>
      </c>
      <c r="I222" s="169">
        <v>1008085</v>
      </c>
      <c r="J222" s="169">
        <v>1000478</v>
      </c>
      <c r="K222" s="169">
        <v>989445</v>
      </c>
      <c r="L222" s="169">
        <v>975568</v>
      </c>
      <c r="M222" s="169">
        <v>962506</v>
      </c>
      <c r="N222" s="169">
        <v>954042</v>
      </c>
      <c r="O222" s="169">
        <v>952252</v>
      </c>
      <c r="P222" s="169">
        <v>955270</v>
      </c>
      <c r="Q222" s="15">
        <v>958666</v>
      </c>
      <c r="R222" s="15">
        <v>960240</v>
      </c>
      <c r="S222" s="15">
        <v>961656</v>
      </c>
      <c r="T222" s="15">
        <v>962356</v>
      </c>
      <c r="U222" s="15">
        <v>962017</v>
      </c>
      <c r="V222" s="15"/>
      <c r="W222" s="15"/>
      <c r="X222" s="15"/>
      <c r="Y222" s="15"/>
      <c r="Z222" s="15"/>
    </row>
    <row r="223" spans="1:26" x14ac:dyDescent="0.3">
      <c r="A223" t="s">
        <v>29</v>
      </c>
      <c r="B223">
        <v>39</v>
      </c>
      <c r="C223">
        <f t="shared" si="4"/>
        <v>897299</v>
      </c>
      <c r="D223">
        <f t="shared" si="4"/>
        <v>897299</v>
      </c>
      <c r="E223">
        <v>912456</v>
      </c>
      <c r="F223" s="169">
        <f t="shared" si="5"/>
        <v>1011429</v>
      </c>
      <c r="G223" s="169">
        <f t="shared" si="5"/>
        <v>1044759</v>
      </c>
      <c r="H223" s="169">
        <f t="shared" si="5"/>
        <v>1020138</v>
      </c>
      <c r="I223" s="169">
        <v>975806</v>
      </c>
      <c r="J223" s="169">
        <v>973394</v>
      </c>
      <c r="K223" s="169">
        <v>966148</v>
      </c>
      <c r="L223" s="169">
        <v>955592</v>
      </c>
      <c r="M223" s="169">
        <v>942286</v>
      </c>
      <c r="N223" s="169">
        <v>929762</v>
      </c>
      <c r="O223" s="169">
        <v>921680</v>
      </c>
      <c r="P223" s="169">
        <v>920041</v>
      </c>
      <c r="Q223" s="15">
        <v>923020</v>
      </c>
      <c r="R223" s="15">
        <v>926328</v>
      </c>
      <c r="S223" s="15">
        <v>927874</v>
      </c>
      <c r="T223" s="15">
        <v>929266</v>
      </c>
      <c r="U223" s="15">
        <v>929966</v>
      </c>
      <c r="V223" s="15"/>
      <c r="W223" s="15"/>
      <c r="X223" s="15"/>
      <c r="Y223" s="15"/>
      <c r="Z223" s="15"/>
    </row>
    <row r="224" spans="1:26" x14ac:dyDescent="0.3">
      <c r="A224" t="s">
        <v>29</v>
      </c>
      <c r="B224">
        <v>40</v>
      </c>
      <c r="C224">
        <f t="shared" ref="C224:D243" si="6">C42+C133</f>
        <v>857538</v>
      </c>
      <c r="D224">
        <f t="shared" si="6"/>
        <v>857538</v>
      </c>
      <c r="E224">
        <v>874741</v>
      </c>
      <c r="F224" s="169">
        <f t="shared" si="5"/>
        <v>931191</v>
      </c>
      <c r="G224" s="169">
        <f t="shared" si="5"/>
        <v>1026759</v>
      </c>
      <c r="H224" s="169">
        <f t="shared" si="5"/>
        <v>1058120</v>
      </c>
      <c r="I224" s="169">
        <v>1010051</v>
      </c>
      <c r="J224" s="169">
        <v>1011927</v>
      </c>
      <c r="K224" s="169">
        <v>1009533</v>
      </c>
      <c r="L224" s="169">
        <v>1002119</v>
      </c>
      <c r="M224" s="169">
        <v>991270</v>
      </c>
      <c r="N224" s="169">
        <v>977566</v>
      </c>
      <c r="O224" s="169">
        <v>964670</v>
      </c>
      <c r="P224" s="169">
        <v>956379</v>
      </c>
      <c r="Q224" s="15">
        <v>954746</v>
      </c>
      <c r="R224" s="15">
        <v>957876</v>
      </c>
      <c r="S224" s="15">
        <v>961343</v>
      </c>
      <c r="T224" s="15">
        <v>962983</v>
      </c>
      <c r="U224" s="15">
        <v>964463</v>
      </c>
      <c r="V224" s="15"/>
      <c r="W224" s="15"/>
      <c r="X224" s="15"/>
      <c r="Y224" s="15"/>
      <c r="Z224" s="15"/>
    </row>
    <row r="225" spans="1:26" x14ac:dyDescent="0.3">
      <c r="A225" t="s">
        <v>29</v>
      </c>
      <c r="B225">
        <v>41</v>
      </c>
      <c r="C225">
        <f t="shared" si="6"/>
        <v>792732</v>
      </c>
      <c r="D225">
        <f t="shared" si="6"/>
        <v>792732</v>
      </c>
      <c r="E225">
        <v>811648</v>
      </c>
      <c r="F225" s="169">
        <f t="shared" si="5"/>
        <v>899886</v>
      </c>
      <c r="G225" s="169">
        <f t="shared" ref="G225:G234" si="7">G43+G134</f>
        <v>946475</v>
      </c>
      <c r="H225" s="169">
        <f t="shared" si="5"/>
        <v>1040893</v>
      </c>
      <c r="I225" s="169">
        <v>1049566</v>
      </c>
      <c r="J225" s="169">
        <v>1051816</v>
      </c>
      <c r="K225" s="169">
        <v>1053878</v>
      </c>
      <c r="L225" s="169">
        <v>1051491</v>
      </c>
      <c r="M225" s="169">
        <v>1043871</v>
      </c>
      <c r="N225" s="169">
        <v>1032673</v>
      </c>
      <c r="O225" s="169">
        <v>1018495</v>
      </c>
      <c r="P225" s="169">
        <v>1005155</v>
      </c>
      <c r="Q225" s="15">
        <v>996587</v>
      </c>
      <c r="R225" s="15">
        <v>994932</v>
      </c>
      <c r="S225" s="15">
        <v>998237</v>
      </c>
      <c r="T225" s="15">
        <v>1001890</v>
      </c>
      <c r="U225" s="15">
        <v>1003640</v>
      </c>
      <c r="V225" s="15"/>
      <c r="W225" s="15"/>
      <c r="X225" s="15"/>
      <c r="Y225" s="15"/>
      <c r="Z225" s="15"/>
    </row>
    <row r="226" spans="1:26" x14ac:dyDescent="0.3">
      <c r="A226" t="s">
        <v>29</v>
      </c>
      <c r="B226">
        <v>42</v>
      </c>
      <c r="C226">
        <f t="shared" si="6"/>
        <v>752865</v>
      </c>
      <c r="D226">
        <f t="shared" si="6"/>
        <v>752865</v>
      </c>
      <c r="E226">
        <v>772671</v>
      </c>
      <c r="F226" s="169">
        <f t="shared" si="5"/>
        <v>846567</v>
      </c>
      <c r="G226" s="169">
        <f t="shared" si="7"/>
        <v>915061</v>
      </c>
      <c r="H226" s="169">
        <f t="shared" si="5"/>
        <v>961117</v>
      </c>
      <c r="I226" s="169">
        <v>1033265</v>
      </c>
      <c r="J226" s="169">
        <v>1037409</v>
      </c>
      <c r="K226" s="169">
        <v>1039734</v>
      </c>
      <c r="L226" s="169">
        <v>1041872</v>
      </c>
      <c r="M226" s="169">
        <v>1039610</v>
      </c>
      <c r="N226" s="169">
        <v>1032170</v>
      </c>
      <c r="O226" s="169">
        <v>1021190</v>
      </c>
      <c r="P226" s="169">
        <v>1007259</v>
      </c>
      <c r="Q226" s="15">
        <v>994134</v>
      </c>
      <c r="R226" s="15">
        <v>985709</v>
      </c>
      <c r="S226" s="15">
        <v>984115</v>
      </c>
      <c r="T226" s="15">
        <v>987425</v>
      </c>
      <c r="U226" s="15">
        <v>991080</v>
      </c>
      <c r="V226" s="15"/>
      <c r="W226" s="15"/>
      <c r="X226" s="15"/>
      <c r="Y226" s="15"/>
      <c r="Z226" s="15"/>
    </row>
    <row r="227" spans="1:26" x14ac:dyDescent="0.3">
      <c r="A227" t="s">
        <v>29</v>
      </c>
      <c r="B227">
        <v>43</v>
      </c>
      <c r="C227">
        <f t="shared" si="6"/>
        <v>723857</v>
      </c>
      <c r="D227">
        <f t="shared" si="6"/>
        <v>723857</v>
      </c>
      <c r="E227">
        <v>743635</v>
      </c>
      <c r="F227" s="169">
        <f t="shared" si="5"/>
        <v>806485</v>
      </c>
      <c r="G227" s="169">
        <f t="shared" si="7"/>
        <v>859500</v>
      </c>
      <c r="H227" s="169">
        <f t="shared" ref="H227:H234" si="8">H45+H136</f>
        <v>927760</v>
      </c>
      <c r="I227" s="169">
        <v>954195</v>
      </c>
      <c r="J227" s="169">
        <v>965308</v>
      </c>
      <c r="K227" s="169">
        <v>969266</v>
      </c>
      <c r="L227" s="169">
        <v>971522</v>
      </c>
      <c r="M227" s="169">
        <v>973602</v>
      </c>
      <c r="N227" s="169">
        <v>971571</v>
      </c>
      <c r="O227" s="169">
        <v>964697</v>
      </c>
      <c r="P227" s="169">
        <v>954512</v>
      </c>
      <c r="Q227" s="15">
        <v>941555</v>
      </c>
      <c r="R227" s="15">
        <v>929326</v>
      </c>
      <c r="S227" s="15">
        <v>921492</v>
      </c>
      <c r="T227" s="15">
        <v>920041</v>
      </c>
      <c r="U227" s="15">
        <v>923171</v>
      </c>
      <c r="V227" s="15"/>
      <c r="W227" s="15"/>
      <c r="X227" s="15"/>
      <c r="Y227" s="15"/>
      <c r="Z227" s="15"/>
    </row>
    <row r="228" spans="1:26" x14ac:dyDescent="0.3">
      <c r="A228" t="s">
        <v>29</v>
      </c>
      <c r="B228">
        <v>44</v>
      </c>
      <c r="C228">
        <f t="shared" si="6"/>
        <v>676628</v>
      </c>
      <c r="D228">
        <f t="shared" si="6"/>
        <v>676628</v>
      </c>
      <c r="E228">
        <v>696666</v>
      </c>
      <c r="F228" s="169">
        <f t="shared" si="5"/>
        <v>747774</v>
      </c>
      <c r="G228" s="169">
        <f t="shared" si="7"/>
        <v>810527</v>
      </c>
      <c r="H228" s="169">
        <f t="shared" si="8"/>
        <v>864436</v>
      </c>
      <c r="I228" s="169">
        <v>914125</v>
      </c>
      <c r="J228" s="169">
        <v>933785</v>
      </c>
      <c r="K228" s="169">
        <v>944741</v>
      </c>
      <c r="L228" s="169">
        <v>948694</v>
      </c>
      <c r="M228" s="169">
        <v>950980</v>
      </c>
      <c r="N228" s="169">
        <v>953095</v>
      </c>
      <c r="O228" s="169">
        <v>951183</v>
      </c>
      <c r="P228" s="169">
        <v>944527</v>
      </c>
      <c r="Q228" s="15">
        <v>934614</v>
      </c>
      <c r="R228" s="15">
        <v>921970</v>
      </c>
      <c r="S228" s="15">
        <v>910039</v>
      </c>
      <c r="T228" s="15">
        <v>902408</v>
      </c>
      <c r="U228" s="15">
        <v>901024</v>
      </c>
      <c r="V228" s="15"/>
      <c r="W228" s="15"/>
      <c r="X228" s="15"/>
      <c r="Y228" s="15"/>
      <c r="Z228" s="15"/>
    </row>
    <row r="229" spans="1:26" x14ac:dyDescent="0.3">
      <c r="A229" t="s">
        <v>29</v>
      </c>
      <c r="B229">
        <v>45</v>
      </c>
      <c r="C229">
        <f t="shared" si="6"/>
        <v>658767</v>
      </c>
      <c r="D229">
        <f t="shared" si="6"/>
        <v>658767</v>
      </c>
      <c r="E229">
        <v>674370</v>
      </c>
      <c r="F229" s="169">
        <f t="shared" si="5"/>
        <v>696621</v>
      </c>
      <c r="G229" s="169">
        <f t="shared" si="7"/>
        <v>750181</v>
      </c>
      <c r="H229" s="169">
        <f t="shared" si="8"/>
        <v>815141</v>
      </c>
      <c r="I229" s="169">
        <v>852881</v>
      </c>
      <c r="J229" s="169">
        <v>877413</v>
      </c>
      <c r="K229" s="169">
        <v>896362</v>
      </c>
      <c r="L229" s="169">
        <v>906954</v>
      </c>
      <c r="M229" s="169">
        <v>910828</v>
      </c>
      <c r="N229" s="169">
        <v>913102</v>
      </c>
      <c r="O229" s="169">
        <v>915210</v>
      </c>
      <c r="P229" s="169">
        <v>913450</v>
      </c>
      <c r="Q229" s="15">
        <v>907123</v>
      </c>
      <c r="R229" s="15">
        <v>897650</v>
      </c>
      <c r="S229" s="15">
        <v>885553</v>
      </c>
      <c r="T229" s="15">
        <v>874138</v>
      </c>
      <c r="U229" s="15">
        <v>866852</v>
      </c>
      <c r="V229" s="15"/>
      <c r="W229" s="15"/>
      <c r="X229" s="15"/>
      <c r="Y229" s="15"/>
      <c r="Z229" s="15"/>
    </row>
    <row r="230" spans="1:26" x14ac:dyDescent="0.3">
      <c r="A230" t="s">
        <v>29</v>
      </c>
      <c r="B230">
        <v>46</v>
      </c>
      <c r="C230">
        <f t="shared" si="6"/>
        <v>637537</v>
      </c>
      <c r="D230">
        <f t="shared" si="6"/>
        <v>637537</v>
      </c>
      <c r="E230">
        <v>645931</v>
      </c>
      <c r="F230" s="169">
        <f t="shared" si="5"/>
        <v>673078</v>
      </c>
      <c r="G230" s="169">
        <f t="shared" si="7"/>
        <v>703428</v>
      </c>
      <c r="H230" s="169">
        <f t="shared" si="8"/>
        <v>757523</v>
      </c>
      <c r="I230" s="169">
        <v>808342</v>
      </c>
      <c r="J230" s="169">
        <v>835182</v>
      </c>
      <c r="K230" s="169">
        <v>859281</v>
      </c>
      <c r="L230" s="169">
        <v>877915</v>
      </c>
      <c r="M230" s="169">
        <v>888365</v>
      </c>
      <c r="N230" s="169">
        <v>892234</v>
      </c>
      <c r="O230" s="169">
        <v>894535</v>
      </c>
      <c r="P230" s="169">
        <v>896672</v>
      </c>
      <c r="Q230" s="15">
        <v>895010</v>
      </c>
      <c r="R230" s="15">
        <v>888861</v>
      </c>
      <c r="S230" s="15">
        <v>879630</v>
      </c>
      <c r="T230" s="15">
        <v>867825</v>
      </c>
      <c r="U230" s="15">
        <v>856684</v>
      </c>
      <c r="V230" s="15"/>
      <c r="W230" s="15"/>
      <c r="X230" s="15"/>
      <c r="Y230" s="15"/>
      <c r="Z230" s="15"/>
    </row>
    <row r="231" spans="1:26" x14ac:dyDescent="0.3">
      <c r="A231" t="s">
        <v>29</v>
      </c>
      <c r="B231">
        <v>47</v>
      </c>
      <c r="C231">
        <f t="shared" si="6"/>
        <v>622611</v>
      </c>
      <c r="D231">
        <f t="shared" si="6"/>
        <v>622611</v>
      </c>
      <c r="E231">
        <v>626532</v>
      </c>
      <c r="F231" s="169">
        <f t="shared" si="5"/>
        <v>627935</v>
      </c>
      <c r="G231" s="169">
        <f t="shared" si="7"/>
        <v>679993</v>
      </c>
      <c r="H231" s="169">
        <f t="shared" si="8"/>
        <v>711333</v>
      </c>
      <c r="I231" s="169">
        <v>753120</v>
      </c>
      <c r="J231" s="169">
        <v>777950</v>
      </c>
      <c r="K231" s="169">
        <v>803851</v>
      </c>
      <c r="L231" s="169">
        <v>827116</v>
      </c>
      <c r="M231" s="169">
        <v>845126</v>
      </c>
      <c r="N231" s="169">
        <v>855259</v>
      </c>
      <c r="O231" s="169">
        <v>859058</v>
      </c>
      <c r="P231" s="169">
        <v>861348</v>
      </c>
      <c r="Q231" s="15">
        <v>863470</v>
      </c>
      <c r="R231" s="15">
        <v>861925</v>
      </c>
      <c r="S231" s="15">
        <v>856057</v>
      </c>
      <c r="T231" s="15">
        <v>847216</v>
      </c>
      <c r="U231" s="15">
        <v>835896</v>
      </c>
      <c r="V231" s="15"/>
      <c r="W231" s="15"/>
      <c r="X231" s="15"/>
      <c r="Y231" s="15"/>
      <c r="Z231" s="15"/>
    </row>
    <row r="232" spans="1:26" x14ac:dyDescent="0.3">
      <c r="A232" t="s">
        <v>29</v>
      </c>
      <c r="B232">
        <v>48</v>
      </c>
      <c r="C232">
        <f t="shared" si="6"/>
        <v>593375</v>
      </c>
      <c r="D232">
        <f t="shared" si="6"/>
        <v>593375</v>
      </c>
      <c r="E232">
        <v>597667</v>
      </c>
      <c r="F232" s="169">
        <f t="shared" si="5"/>
        <v>626750</v>
      </c>
      <c r="G232" s="169">
        <f t="shared" si="7"/>
        <v>634245</v>
      </c>
      <c r="H232" s="169">
        <f t="shared" si="8"/>
        <v>687264</v>
      </c>
      <c r="I232" s="169">
        <v>707051</v>
      </c>
      <c r="J232" s="169">
        <v>727525</v>
      </c>
      <c r="K232" s="169">
        <v>751574</v>
      </c>
      <c r="L232" s="169">
        <v>776660</v>
      </c>
      <c r="M232" s="169">
        <v>799203</v>
      </c>
      <c r="N232" s="169">
        <v>816670</v>
      </c>
      <c r="O232" s="169">
        <v>826525</v>
      </c>
      <c r="P232" s="169">
        <v>830260</v>
      </c>
      <c r="Q232" s="15">
        <v>832530</v>
      </c>
      <c r="R232" s="15">
        <v>834631</v>
      </c>
      <c r="S232" s="15">
        <v>833186</v>
      </c>
      <c r="T232" s="15">
        <v>827561</v>
      </c>
      <c r="U232" s="15">
        <v>819059</v>
      </c>
      <c r="V232" s="15"/>
      <c r="W232" s="15"/>
      <c r="X232" s="15"/>
      <c r="Y232" s="15"/>
      <c r="Z232" s="15"/>
    </row>
    <row r="233" spans="1:26" x14ac:dyDescent="0.3">
      <c r="A233" t="s">
        <v>29</v>
      </c>
      <c r="B233">
        <v>49</v>
      </c>
      <c r="C233">
        <f t="shared" si="6"/>
        <v>577950</v>
      </c>
      <c r="D233">
        <f t="shared" si="6"/>
        <v>577950</v>
      </c>
      <c r="E233">
        <v>581785</v>
      </c>
      <c r="F233" s="169">
        <f t="shared" si="5"/>
        <v>599715</v>
      </c>
      <c r="G233" s="169">
        <f t="shared" si="7"/>
        <v>627145</v>
      </c>
      <c r="H233" s="169">
        <f t="shared" si="8"/>
        <v>636329</v>
      </c>
      <c r="I233" s="169">
        <v>678902</v>
      </c>
      <c r="J233" s="169">
        <v>693307</v>
      </c>
      <c r="K233" s="169">
        <v>713440</v>
      </c>
      <c r="L233" s="169">
        <v>737083</v>
      </c>
      <c r="M233" s="169">
        <v>761745</v>
      </c>
      <c r="N233" s="169">
        <v>783916</v>
      </c>
      <c r="O233" s="169">
        <v>801109</v>
      </c>
      <c r="P233" s="169">
        <v>810836</v>
      </c>
      <c r="Q233" s="15">
        <v>814554</v>
      </c>
      <c r="R233" s="15">
        <v>816828</v>
      </c>
      <c r="S233" s="15">
        <v>818936</v>
      </c>
      <c r="T233" s="15">
        <v>817564</v>
      </c>
      <c r="U233" s="15">
        <v>812089</v>
      </c>
      <c r="V233" s="15"/>
      <c r="W233" s="15"/>
      <c r="X233" s="15"/>
      <c r="Y233" s="15"/>
      <c r="Z233" s="15"/>
    </row>
    <row r="234" spans="1:26" x14ac:dyDescent="0.3">
      <c r="A234" t="s">
        <v>29</v>
      </c>
      <c r="B234">
        <v>50</v>
      </c>
      <c r="C234">
        <f t="shared" si="6"/>
        <v>566903</v>
      </c>
      <c r="D234">
        <f t="shared" si="6"/>
        <v>566903</v>
      </c>
      <c r="E234">
        <v>571915</v>
      </c>
      <c r="F234" s="169">
        <f t="shared" si="5"/>
        <v>571453</v>
      </c>
      <c r="G234" s="169">
        <f t="shared" si="7"/>
        <v>597847</v>
      </c>
      <c r="H234" s="169">
        <f t="shared" si="8"/>
        <v>628135</v>
      </c>
      <c r="I234" s="169">
        <v>628770</v>
      </c>
      <c r="J234" s="169">
        <v>637704</v>
      </c>
      <c r="K234" s="169">
        <v>651296</v>
      </c>
      <c r="L234" s="169">
        <v>670270</v>
      </c>
      <c r="M234" s="169">
        <v>692546</v>
      </c>
      <c r="N234" s="169">
        <v>715782</v>
      </c>
      <c r="O234" s="169">
        <v>736680</v>
      </c>
      <c r="P234" s="169">
        <v>752901</v>
      </c>
      <c r="Q234" s="15">
        <v>762102</v>
      </c>
      <c r="R234" s="15">
        <v>765649</v>
      </c>
      <c r="S234" s="15">
        <v>767841</v>
      </c>
      <c r="T234" s="15">
        <v>769871</v>
      </c>
      <c r="U234" s="15">
        <v>768631</v>
      </c>
      <c r="V234" s="15"/>
      <c r="W234" s="15"/>
      <c r="X234" s="15"/>
      <c r="Y234" s="15"/>
      <c r="Z234" s="15"/>
    </row>
    <row r="235" spans="1:26" x14ac:dyDescent="0.3">
      <c r="A235" t="s">
        <v>29</v>
      </c>
      <c r="B235">
        <v>51</v>
      </c>
      <c r="C235">
        <f t="shared" si="6"/>
        <v>561007</v>
      </c>
      <c r="D235">
        <f t="shared" si="6"/>
        <v>561007</v>
      </c>
      <c r="E235">
        <v>568436</v>
      </c>
      <c r="F235" s="169">
        <f t="shared" si="5"/>
        <v>545140</v>
      </c>
      <c r="G235" s="169">
        <f t="shared" si="5"/>
        <v>571423</v>
      </c>
      <c r="H235" s="169">
        <f t="shared" si="5"/>
        <v>600807</v>
      </c>
      <c r="I235" s="169">
        <v>623385</v>
      </c>
      <c r="J235" s="169">
        <v>631570</v>
      </c>
      <c r="K235" s="169">
        <v>640611</v>
      </c>
      <c r="L235" s="169">
        <v>654333</v>
      </c>
      <c r="M235" s="169">
        <v>673465</v>
      </c>
      <c r="N235" s="169">
        <v>695916</v>
      </c>
      <c r="O235" s="169">
        <v>719339</v>
      </c>
      <c r="P235" s="169">
        <v>740414</v>
      </c>
      <c r="Q235" s="15">
        <v>756787</v>
      </c>
      <c r="R235" s="15">
        <v>766100</v>
      </c>
      <c r="S235" s="15">
        <v>769729</v>
      </c>
      <c r="T235" s="15">
        <v>771993</v>
      </c>
      <c r="U235" s="15">
        <v>774094</v>
      </c>
      <c r="V235" s="15"/>
      <c r="W235" s="15"/>
      <c r="X235" s="15"/>
      <c r="Y235" s="15"/>
      <c r="Z235" s="15"/>
    </row>
    <row r="236" spans="1:26" x14ac:dyDescent="0.3">
      <c r="A236" t="s">
        <v>29</v>
      </c>
      <c r="B236">
        <v>52</v>
      </c>
      <c r="C236">
        <f t="shared" si="6"/>
        <v>564577</v>
      </c>
      <c r="D236">
        <f t="shared" si="6"/>
        <v>564577</v>
      </c>
      <c r="E236">
        <v>573977</v>
      </c>
      <c r="F236" s="169">
        <f t="shared" si="5"/>
        <v>543492</v>
      </c>
      <c r="G236" s="169">
        <f t="shared" si="5"/>
        <v>545327</v>
      </c>
      <c r="H236" s="169">
        <f t="shared" si="5"/>
        <v>574640</v>
      </c>
      <c r="I236" s="169">
        <v>597143</v>
      </c>
      <c r="J236" s="169">
        <v>606127</v>
      </c>
      <c r="K236" s="169">
        <v>614153</v>
      </c>
      <c r="L236" s="169">
        <v>623012</v>
      </c>
      <c r="M236" s="169">
        <v>636424</v>
      </c>
      <c r="N236" s="169">
        <v>655101</v>
      </c>
      <c r="O236" s="169">
        <v>677008</v>
      </c>
      <c r="P236" s="169">
        <v>699862</v>
      </c>
      <c r="Q236" s="15">
        <v>720433</v>
      </c>
      <c r="R236" s="15">
        <v>736433</v>
      </c>
      <c r="S236" s="15">
        <v>745562</v>
      </c>
      <c r="T236" s="15">
        <v>749163</v>
      </c>
      <c r="U236" s="15">
        <v>751433</v>
      </c>
      <c r="V236" s="15"/>
      <c r="W236" s="15"/>
      <c r="X236" s="15"/>
      <c r="Y236" s="15"/>
      <c r="Z236" s="15"/>
    </row>
    <row r="237" spans="1:26" x14ac:dyDescent="0.3">
      <c r="A237" t="s">
        <v>29</v>
      </c>
      <c r="B237">
        <v>53</v>
      </c>
      <c r="C237">
        <f t="shared" si="6"/>
        <v>562391</v>
      </c>
      <c r="D237">
        <f t="shared" si="6"/>
        <v>562391</v>
      </c>
      <c r="E237">
        <v>571302</v>
      </c>
      <c r="F237" s="169">
        <f t="shared" si="5"/>
        <v>533555</v>
      </c>
      <c r="G237" s="169">
        <f t="shared" si="5"/>
        <v>543138</v>
      </c>
      <c r="H237" s="169">
        <f t="shared" si="5"/>
        <v>547265</v>
      </c>
      <c r="I237" s="169">
        <v>571377</v>
      </c>
      <c r="J237" s="169">
        <v>578903</v>
      </c>
      <c r="K237" s="169">
        <v>587671</v>
      </c>
      <c r="L237" s="169">
        <v>595510</v>
      </c>
      <c r="M237" s="169">
        <v>604159</v>
      </c>
      <c r="N237" s="169">
        <v>617224</v>
      </c>
      <c r="O237" s="169">
        <v>635397</v>
      </c>
      <c r="P237" s="169">
        <v>656705</v>
      </c>
      <c r="Q237" s="15">
        <v>678936</v>
      </c>
      <c r="R237" s="15">
        <v>698953</v>
      </c>
      <c r="S237" s="15">
        <v>714535</v>
      </c>
      <c r="T237" s="15">
        <v>723450</v>
      </c>
      <c r="U237" s="15">
        <v>726997</v>
      </c>
      <c r="V237" s="15"/>
      <c r="W237" s="15"/>
      <c r="X237" s="15"/>
      <c r="Y237" s="15"/>
      <c r="Z237" s="15"/>
    </row>
    <row r="238" spans="1:26" x14ac:dyDescent="0.3">
      <c r="A238" t="s">
        <v>29</v>
      </c>
      <c r="B238">
        <v>54</v>
      </c>
      <c r="C238">
        <f t="shared" si="6"/>
        <v>544778</v>
      </c>
      <c r="D238">
        <f t="shared" si="6"/>
        <v>544778</v>
      </c>
      <c r="E238">
        <v>553203</v>
      </c>
      <c r="F238" s="169">
        <f t="shared" si="5"/>
        <v>523902</v>
      </c>
      <c r="G238" s="169">
        <f t="shared" si="5"/>
        <v>526685</v>
      </c>
      <c r="H238" s="169">
        <f t="shared" si="5"/>
        <v>539655</v>
      </c>
      <c r="I238" s="169">
        <v>538968</v>
      </c>
      <c r="J238" s="169">
        <v>544938</v>
      </c>
      <c r="K238" s="169">
        <v>552171</v>
      </c>
      <c r="L238" s="169">
        <v>560590</v>
      </c>
      <c r="M238" s="169">
        <v>568125</v>
      </c>
      <c r="N238" s="169">
        <v>576431</v>
      </c>
      <c r="O238" s="169">
        <v>588952</v>
      </c>
      <c r="P238" s="169">
        <v>606350</v>
      </c>
      <c r="Q238" s="15">
        <v>626741</v>
      </c>
      <c r="R238" s="15">
        <v>648015</v>
      </c>
      <c r="S238" s="15">
        <v>667178</v>
      </c>
      <c r="T238" s="15">
        <v>682108</v>
      </c>
      <c r="U238" s="15">
        <v>690675</v>
      </c>
      <c r="V238" s="15"/>
      <c r="W238" s="15"/>
      <c r="X238" s="15"/>
      <c r="Y238" s="15"/>
      <c r="Z238" s="15"/>
    </row>
    <row r="239" spans="1:26" x14ac:dyDescent="0.3">
      <c r="A239" t="s">
        <v>29</v>
      </c>
      <c r="B239">
        <v>55</v>
      </c>
      <c r="C239">
        <f t="shared" si="6"/>
        <v>516588</v>
      </c>
      <c r="D239">
        <f t="shared" si="6"/>
        <v>516588</v>
      </c>
      <c r="E239">
        <v>526256</v>
      </c>
      <c r="F239" s="169">
        <f t="shared" si="5"/>
        <v>530996</v>
      </c>
      <c r="G239" s="169">
        <f t="shared" si="5"/>
        <v>515010</v>
      </c>
      <c r="H239" s="169">
        <f t="shared" si="5"/>
        <v>523145</v>
      </c>
      <c r="I239" s="169">
        <v>531574</v>
      </c>
      <c r="J239" s="169">
        <v>536199</v>
      </c>
      <c r="K239" s="169">
        <v>542206</v>
      </c>
      <c r="L239" s="169">
        <v>549471</v>
      </c>
      <c r="M239" s="169">
        <v>557917</v>
      </c>
      <c r="N239" s="169">
        <v>565482</v>
      </c>
      <c r="O239" s="169">
        <v>573818</v>
      </c>
      <c r="P239" s="169">
        <v>586348</v>
      </c>
      <c r="Q239" s="15">
        <v>603737</v>
      </c>
      <c r="R239" s="15">
        <v>624106</v>
      </c>
      <c r="S239" s="15">
        <v>645359</v>
      </c>
      <c r="T239" s="15">
        <v>664511</v>
      </c>
      <c r="U239" s="15">
        <v>679450</v>
      </c>
      <c r="V239" s="15"/>
      <c r="W239" s="15"/>
      <c r="X239" s="15"/>
      <c r="Y239" s="15"/>
      <c r="Z239" s="15"/>
    </row>
    <row r="240" spans="1:26" x14ac:dyDescent="0.3">
      <c r="A240" t="s">
        <v>29</v>
      </c>
      <c r="B240">
        <v>56</v>
      </c>
      <c r="C240">
        <f t="shared" si="6"/>
        <v>488588</v>
      </c>
      <c r="D240">
        <f t="shared" si="6"/>
        <v>488588</v>
      </c>
      <c r="E240">
        <v>499907</v>
      </c>
      <c r="F240" s="169">
        <f t="shared" si="5"/>
        <v>514741</v>
      </c>
      <c r="G240" s="169">
        <f t="shared" si="5"/>
        <v>524703</v>
      </c>
      <c r="H240" s="169">
        <f t="shared" si="5"/>
        <v>512579</v>
      </c>
      <c r="I240" s="169">
        <v>517610</v>
      </c>
      <c r="J240" s="169">
        <v>521013</v>
      </c>
      <c r="K240" s="169">
        <v>525618</v>
      </c>
      <c r="L240" s="169">
        <v>531576</v>
      </c>
      <c r="M240" s="169">
        <v>538769</v>
      </c>
      <c r="N240" s="169">
        <v>547122</v>
      </c>
      <c r="O240" s="169">
        <v>554610</v>
      </c>
      <c r="P240" s="169">
        <v>562855</v>
      </c>
      <c r="Q240" s="15">
        <v>575216</v>
      </c>
      <c r="R240" s="15">
        <v>592347</v>
      </c>
      <c r="S240" s="15">
        <v>612407</v>
      </c>
      <c r="T240" s="15">
        <v>633336</v>
      </c>
      <c r="U240" s="15">
        <v>652208</v>
      </c>
      <c r="V240" s="15"/>
      <c r="W240" s="15"/>
      <c r="X240" s="15"/>
      <c r="Y240" s="15"/>
      <c r="Z240" s="15"/>
    </row>
    <row r="241" spans="1:26" x14ac:dyDescent="0.3">
      <c r="A241" t="s">
        <v>29</v>
      </c>
      <c r="B241">
        <v>57</v>
      </c>
      <c r="C241">
        <f t="shared" si="6"/>
        <v>473143</v>
      </c>
      <c r="D241">
        <f t="shared" si="6"/>
        <v>473143</v>
      </c>
      <c r="E241">
        <v>485860</v>
      </c>
      <c r="F241" s="169">
        <f t="shared" si="5"/>
        <v>495881</v>
      </c>
      <c r="G241" s="169">
        <f t="shared" si="5"/>
        <v>508692</v>
      </c>
      <c r="H241" s="169">
        <f t="shared" si="5"/>
        <v>522105</v>
      </c>
      <c r="I241" s="169">
        <v>508990</v>
      </c>
      <c r="J241" s="169">
        <v>513076</v>
      </c>
      <c r="K241" s="169">
        <v>516522</v>
      </c>
      <c r="L241" s="169">
        <v>521158</v>
      </c>
      <c r="M241" s="169">
        <v>527135</v>
      </c>
      <c r="N241" s="169">
        <v>534336</v>
      </c>
      <c r="O241" s="169">
        <v>542690</v>
      </c>
      <c r="P241" s="169">
        <v>550189</v>
      </c>
      <c r="Q241" s="15">
        <v>558436</v>
      </c>
      <c r="R241" s="15">
        <v>570770</v>
      </c>
      <c r="S241" s="15">
        <v>587840</v>
      </c>
      <c r="T241" s="15">
        <v>607820</v>
      </c>
      <c r="U241" s="15">
        <v>628664</v>
      </c>
      <c r="V241" s="15"/>
      <c r="W241" s="15"/>
      <c r="X241" s="15"/>
      <c r="Y241" s="15"/>
      <c r="Z241" s="15"/>
    </row>
    <row r="242" spans="1:26" x14ac:dyDescent="0.3">
      <c r="A242" t="s">
        <v>29</v>
      </c>
      <c r="B242">
        <v>58</v>
      </c>
      <c r="C242">
        <f t="shared" si="6"/>
        <v>458929</v>
      </c>
      <c r="D242">
        <f t="shared" si="6"/>
        <v>458929</v>
      </c>
      <c r="E242">
        <v>471534</v>
      </c>
      <c r="F242" s="169">
        <f t="shared" si="5"/>
        <v>472223</v>
      </c>
      <c r="G242" s="169">
        <f t="shared" si="5"/>
        <v>489029</v>
      </c>
      <c r="H242" s="169">
        <f t="shared" si="5"/>
        <v>505426</v>
      </c>
      <c r="I242" s="169">
        <v>518143</v>
      </c>
      <c r="J242" s="169">
        <v>524589</v>
      </c>
      <c r="K242" s="169">
        <v>528873</v>
      </c>
      <c r="L242" s="169">
        <v>532496</v>
      </c>
      <c r="M242" s="169">
        <v>537343</v>
      </c>
      <c r="N242" s="169">
        <v>543575</v>
      </c>
      <c r="O242" s="169">
        <v>551071</v>
      </c>
      <c r="P242" s="169">
        <v>559756</v>
      </c>
      <c r="Q242" s="15">
        <v>567560</v>
      </c>
      <c r="R242" s="15">
        <v>576137</v>
      </c>
      <c r="S242" s="15">
        <v>588931</v>
      </c>
      <c r="T242" s="15">
        <v>606614</v>
      </c>
      <c r="U242" s="15">
        <v>627305</v>
      </c>
      <c r="V242" s="15"/>
      <c r="W242" s="15"/>
      <c r="X242" s="15"/>
      <c r="Y242" s="15"/>
      <c r="Z242" s="15"/>
    </row>
    <row r="243" spans="1:26" x14ac:dyDescent="0.3">
      <c r="A243" t="s">
        <v>29</v>
      </c>
      <c r="B243">
        <v>59</v>
      </c>
      <c r="C243">
        <f t="shared" si="6"/>
        <v>431924</v>
      </c>
      <c r="D243">
        <f t="shared" si="6"/>
        <v>431924</v>
      </c>
      <c r="E243">
        <v>444175</v>
      </c>
      <c r="F243" s="169">
        <f t="shared" si="5"/>
        <v>436850</v>
      </c>
      <c r="G243" s="169">
        <f t="shared" si="5"/>
        <v>455664</v>
      </c>
      <c r="H243" s="169">
        <f t="shared" si="5"/>
        <v>476168</v>
      </c>
      <c r="I243" s="169">
        <v>492135</v>
      </c>
      <c r="J243" s="169">
        <v>501398</v>
      </c>
      <c r="K243" s="169">
        <v>507708</v>
      </c>
      <c r="L243" s="169">
        <v>511924</v>
      </c>
      <c r="M243" s="169">
        <v>515501</v>
      </c>
      <c r="N243" s="169">
        <v>520261</v>
      </c>
      <c r="O243" s="169">
        <v>526361</v>
      </c>
      <c r="P243" s="169">
        <v>533688</v>
      </c>
      <c r="Q243" s="15">
        <v>542166</v>
      </c>
      <c r="R243" s="15">
        <v>549794</v>
      </c>
      <c r="S243" s="15">
        <v>558170</v>
      </c>
      <c r="T243" s="15">
        <v>570632</v>
      </c>
      <c r="U243" s="15">
        <v>587834</v>
      </c>
      <c r="V243" s="15"/>
      <c r="W243" s="15"/>
      <c r="X243" s="15"/>
      <c r="Y243" s="15"/>
      <c r="Z243" s="15"/>
    </row>
    <row r="244" spans="1:26" x14ac:dyDescent="0.3">
      <c r="A244" t="s">
        <v>29</v>
      </c>
      <c r="B244">
        <v>60</v>
      </c>
      <c r="C244">
        <f t="shared" ref="C244:D263" si="9">C62+C153</f>
        <v>412861</v>
      </c>
      <c r="D244">
        <f t="shared" si="9"/>
        <v>412861</v>
      </c>
      <c r="E244">
        <v>425422</v>
      </c>
      <c r="F244" s="169">
        <f t="shared" si="5"/>
        <v>421980</v>
      </c>
      <c r="G244" s="169">
        <f t="shared" si="5"/>
        <v>421164</v>
      </c>
      <c r="H244" s="169">
        <f t="shared" si="5"/>
        <v>445849</v>
      </c>
      <c r="I244" s="169">
        <v>465083</v>
      </c>
      <c r="J244" s="169">
        <v>475611</v>
      </c>
      <c r="K244" s="169">
        <v>484644</v>
      </c>
      <c r="L244" s="169">
        <v>490822</v>
      </c>
      <c r="M244" s="169">
        <v>494973</v>
      </c>
      <c r="N244" s="169">
        <v>498506</v>
      </c>
      <c r="O244" s="169">
        <v>503183</v>
      </c>
      <c r="P244" s="169">
        <v>509154</v>
      </c>
      <c r="Q244" s="15">
        <v>516313</v>
      </c>
      <c r="R244" s="15">
        <v>524591</v>
      </c>
      <c r="S244" s="15">
        <v>532046</v>
      </c>
      <c r="T244" s="15">
        <v>540223</v>
      </c>
      <c r="U244" s="15">
        <v>552359</v>
      </c>
      <c r="V244" s="15"/>
      <c r="W244" s="15"/>
      <c r="X244" s="15"/>
      <c r="Y244" s="15"/>
      <c r="Z244" s="15"/>
    </row>
    <row r="245" spans="1:26" x14ac:dyDescent="0.3">
      <c r="A245" t="s">
        <v>29</v>
      </c>
      <c r="B245">
        <v>61</v>
      </c>
      <c r="C245">
        <f t="shared" si="9"/>
        <v>392733</v>
      </c>
      <c r="D245">
        <f t="shared" si="9"/>
        <v>392733</v>
      </c>
      <c r="E245">
        <v>405412</v>
      </c>
      <c r="F245" s="169">
        <f t="shared" si="5"/>
        <v>401497</v>
      </c>
      <c r="G245" s="169">
        <f t="shared" si="5"/>
        <v>411416</v>
      </c>
      <c r="H245" s="169">
        <f t="shared" si="5"/>
        <v>414906</v>
      </c>
      <c r="I245" s="169">
        <v>439400</v>
      </c>
      <c r="J245" s="169">
        <v>448677</v>
      </c>
      <c r="K245" s="169">
        <v>458927</v>
      </c>
      <c r="L245" s="169">
        <v>467736</v>
      </c>
      <c r="M245" s="169">
        <v>473789</v>
      </c>
      <c r="N245" s="169">
        <v>477886</v>
      </c>
      <c r="O245" s="169">
        <v>481384</v>
      </c>
      <c r="P245" s="169">
        <v>485984</v>
      </c>
      <c r="Q245" s="15">
        <v>491836</v>
      </c>
      <c r="R245" s="15">
        <v>498839</v>
      </c>
      <c r="S245" s="15">
        <v>506923</v>
      </c>
      <c r="T245" s="15">
        <v>514211</v>
      </c>
      <c r="U245" s="15">
        <v>522201</v>
      </c>
      <c r="V245" s="15"/>
      <c r="W245" s="15"/>
      <c r="X245" s="15"/>
      <c r="Y245" s="15"/>
      <c r="Z245" s="15"/>
    </row>
    <row r="246" spans="1:26" x14ac:dyDescent="0.3">
      <c r="A246" t="s">
        <v>29</v>
      </c>
      <c r="B246">
        <v>62</v>
      </c>
      <c r="C246">
        <f t="shared" si="9"/>
        <v>377431</v>
      </c>
      <c r="D246">
        <f t="shared" si="9"/>
        <v>377431</v>
      </c>
      <c r="E246">
        <v>390324</v>
      </c>
      <c r="F246" s="169">
        <f t="shared" si="5"/>
        <v>382280</v>
      </c>
      <c r="G246" s="169">
        <f t="shared" si="5"/>
        <v>392702</v>
      </c>
      <c r="H246" s="169">
        <f t="shared" si="5"/>
        <v>405942</v>
      </c>
      <c r="I246" s="169">
        <v>410622</v>
      </c>
      <c r="J246" s="169">
        <v>421436</v>
      </c>
      <c r="K246" s="169">
        <v>430422</v>
      </c>
      <c r="L246" s="169">
        <v>440347</v>
      </c>
      <c r="M246" s="169">
        <v>448884</v>
      </c>
      <c r="N246" s="169">
        <v>454777</v>
      </c>
      <c r="O246" s="169">
        <v>458792</v>
      </c>
      <c r="P246" s="169">
        <v>462229</v>
      </c>
      <c r="Q246" s="15">
        <v>466727</v>
      </c>
      <c r="R246" s="15">
        <v>472425</v>
      </c>
      <c r="S246" s="15">
        <v>479231</v>
      </c>
      <c r="T246" s="15">
        <v>487077</v>
      </c>
      <c r="U246" s="15">
        <v>494160</v>
      </c>
      <c r="V246" s="15"/>
      <c r="W246" s="15"/>
      <c r="X246" s="15"/>
      <c r="Y246" s="15"/>
      <c r="Z246" s="15"/>
    </row>
    <row r="247" spans="1:26" x14ac:dyDescent="0.3">
      <c r="A247" t="s">
        <v>29</v>
      </c>
      <c r="B247">
        <v>63</v>
      </c>
      <c r="C247">
        <f t="shared" si="9"/>
        <v>362506</v>
      </c>
      <c r="D247">
        <f t="shared" si="9"/>
        <v>362506</v>
      </c>
      <c r="E247">
        <v>375226</v>
      </c>
      <c r="F247" s="169">
        <f t="shared" si="5"/>
        <v>374335</v>
      </c>
      <c r="G247" s="169">
        <f t="shared" ref="G247:H249" si="10">G65+G156</f>
        <v>374650</v>
      </c>
      <c r="H247" s="169">
        <f t="shared" si="10"/>
        <v>388149</v>
      </c>
      <c r="I247" s="169">
        <v>402857</v>
      </c>
      <c r="J247" s="169">
        <v>414906</v>
      </c>
      <c r="K247" s="169">
        <v>425922</v>
      </c>
      <c r="L247" s="169">
        <v>435091</v>
      </c>
      <c r="M247" s="169">
        <v>445211</v>
      </c>
      <c r="N247" s="169">
        <v>453928</v>
      </c>
      <c r="O247" s="169">
        <v>459972</v>
      </c>
      <c r="P247" s="169">
        <v>464114</v>
      </c>
      <c r="Q247" s="15">
        <v>467672</v>
      </c>
      <c r="R247" s="15">
        <v>472303</v>
      </c>
      <c r="S247" s="15">
        <v>478148</v>
      </c>
      <c r="T247" s="15">
        <v>485115</v>
      </c>
      <c r="U247" s="15">
        <v>493139</v>
      </c>
      <c r="V247" s="15"/>
      <c r="W247" s="15"/>
      <c r="X247" s="15"/>
      <c r="Y247" s="15"/>
      <c r="Z247" s="15"/>
    </row>
    <row r="248" spans="1:26" x14ac:dyDescent="0.3">
      <c r="A248" t="s">
        <v>29</v>
      </c>
      <c r="B248">
        <v>64</v>
      </c>
      <c r="C248">
        <f t="shared" si="9"/>
        <v>346450</v>
      </c>
      <c r="D248">
        <f t="shared" si="9"/>
        <v>346450</v>
      </c>
      <c r="E248">
        <v>358932</v>
      </c>
      <c r="F248" s="169">
        <f t="shared" ref="F248:H274" si="11">F66+F157</f>
        <v>360832</v>
      </c>
      <c r="G248" s="169">
        <f t="shared" si="10"/>
        <v>367354</v>
      </c>
      <c r="H248" s="169">
        <f t="shared" si="10"/>
        <v>370270</v>
      </c>
      <c r="I248" s="169">
        <v>385967</v>
      </c>
      <c r="J248" s="169">
        <v>398464</v>
      </c>
      <c r="K248" s="169">
        <v>410470</v>
      </c>
      <c r="L248" s="169">
        <v>421458</v>
      </c>
      <c r="M248" s="169">
        <v>430614</v>
      </c>
      <c r="N248" s="169">
        <v>440716</v>
      </c>
      <c r="O248" s="169">
        <v>449426</v>
      </c>
      <c r="P248" s="169">
        <v>455487</v>
      </c>
      <c r="Q248" s="15">
        <v>459667</v>
      </c>
      <c r="R248" s="15">
        <v>463267</v>
      </c>
      <c r="S248" s="15">
        <v>467927</v>
      </c>
      <c r="T248" s="15">
        <v>473789</v>
      </c>
      <c r="U248" s="15">
        <v>480766</v>
      </c>
      <c r="V248" s="15"/>
      <c r="W248" s="15"/>
      <c r="X248" s="15"/>
      <c r="Y248" s="15"/>
      <c r="Z248" s="15"/>
    </row>
    <row r="249" spans="1:26" x14ac:dyDescent="0.3">
      <c r="A249" t="s">
        <v>29</v>
      </c>
      <c r="B249">
        <v>65</v>
      </c>
      <c r="C249">
        <f t="shared" si="9"/>
        <v>328573</v>
      </c>
      <c r="D249">
        <f t="shared" si="9"/>
        <v>328573</v>
      </c>
      <c r="E249">
        <v>340798</v>
      </c>
      <c r="F249" s="169">
        <f t="shared" si="11"/>
        <v>346003</v>
      </c>
      <c r="G249" s="169">
        <f t="shared" si="10"/>
        <v>354148</v>
      </c>
      <c r="H249" s="169">
        <f t="shared" si="10"/>
        <v>362836</v>
      </c>
      <c r="I249" s="169">
        <v>368751</v>
      </c>
      <c r="J249" s="169">
        <v>380712</v>
      </c>
      <c r="K249" s="169">
        <v>393137</v>
      </c>
      <c r="L249" s="169">
        <v>405085</v>
      </c>
      <c r="M249" s="169">
        <v>416028</v>
      </c>
      <c r="N249" s="169">
        <v>425164</v>
      </c>
      <c r="O249" s="169">
        <v>435236</v>
      </c>
      <c r="P249" s="169">
        <v>443934</v>
      </c>
      <c r="Q249" s="15">
        <v>450015</v>
      </c>
      <c r="R249" s="15">
        <v>454235</v>
      </c>
      <c r="S249" s="15">
        <v>457884</v>
      </c>
      <c r="T249" s="15">
        <v>462579</v>
      </c>
      <c r="U249" s="15">
        <v>468461</v>
      </c>
      <c r="V249" s="15"/>
      <c r="W249" s="15"/>
      <c r="X249" s="15"/>
      <c r="Y249" s="15"/>
      <c r="Z249" s="15"/>
    </row>
    <row r="250" spans="1:26" x14ac:dyDescent="0.3">
      <c r="A250" t="s">
        <v>29</v>
      </c>
      <c r="B250">
        <v>66</v>
      </c>
      <c r="C250">
        <f t="shared" si="9"/>
        <v>313120</v>
      </c>
      <c r="D250">
        <f t="shared" si="9"/>
        <v>313120</v>
      </c>
      <c r="E250">
        <v>324904</v>
      </c>
      <c r="F250" s="169">
        <f t="shared" si="11"/>
        <v>335866</v>
      </c>
      <c r="G250" s="169">
        <f t="shared" ref="G250:G257" si="12">G68+G159</f>
        <v>339472</v>
      </c>
      <c r="H250" s="169">
        <f t="shared" ref="H250:H257" si="13">H68+H159</f>
        <v>349656</v>
      </c>
      <c r="I250" s="169">
        <v>361405</v>
      </c>
      <c r="J250" s="169">
        <v>372965</v>
      </c>
      <c r="K250" s="169">
        <v>385178</v>
      </c>
      <c r="L250" s="169">
        <v>397864</v>
      </c>
      <c r="M250" s="169">
        <v>410072</v>
      </c>
      <c r="N250" s="169">
        <v>421267</v>
      </c>
      <c r="O250" s="169">
        <v>430630</v>
      </c>
      <c r="P250" s="169">
        <v>440947</v>
      </c>
      <c r="Q250" s="15">
        <v>449869</v>
      </c>
      <c r="R250" s="15">
        <v>456144</v>
      </c>
      <c r="S250" s="15">
        <v>460527</v>
      </c>
      <c r="T250" s="15">
        <v>464331</v>
      </c>
      <c r="U250" s="15">
        <v>469196</v>
      </c>
      <c r="V250" s="15"/>
      <c r="W250" s="15"/>
      <c r="X250" s="15"/>
      <c r="Y250" s="15"/>
      <c r="Z250" s="15"/>
    </row>
    <row r="251" spans="1:26" x14ac:dyDescent="0.3">
      <c r="A251" t="s">
        <v>29</v>
      </c>
      <c r="B251">
        <v>67</v>
      </c>
      <c r="C251">
        <f t="shared" si="9"/>
        <v>290542</v>
      </c>
      <c r="D251">
        <f t="shared" si="9"/>
        <v>290542</v>
      </c>
      <c r="E251">
        <v>301750</v>
      </c>
      <c r="F251" s="169">
        <f t="shared" si="11"/>
        <v>315444</v>
      </c>
      <c r="G251" s="169">
        <f t="shared" si="12"/>
        <v>329592</v>
      </c>
      <c r="H251" s="169">
        <f t="shared" si="13"/>
        <v>335312</v>
      </c>
      <c r="I251" s="169">
        <v>348860</v>
      </c>
      <c r="J251" s="169">
        <v>360989</v>
      </c>
      <c r="K251" s="169">
        <v>372647</v>
      </c>
      <c r="L251" s="169">
        <v>384961</v>
      </c>
      <c r="M251" s="169">
        <v>397752</v>
      </c>
      <c r="N251" s="169">
        <v>410070</v>
      </c>
      <c r="O251" s="169">
        <v>421382</v>
      </c>
      <c r="P251" s="169">
        <v>430856</v>
      </c>
      <c r="Q251" s="15">
        <v>441291</v>
      </c>
      <c r="R251" s="15">
        <v>450330</v>
      </c>
      <c r="S251" s="15">
        <v>456717</v>
      </c>
      <c r="T251" s="15">
        <v>461210</v>
      </c>
      <c r="U251" s="15">
        <v>465118</v>
      </c>
      <c r="V251" s="15"/>
      <c r="W251" s="15"/>
      <c r="X251" s="15"/>
      <c r="Y251" s="15"/>
      <c r="Z251" s="15"/>
    </row>
    <row r="252" spans="1:26" x14ac:dyDescent="0.3">
      <c r="A252" t="s">
        <v>29</v>
      </c>
      <c r="B252">
        <v>68</v>
      </c>
      <c r="C252">
        <f t="shared" si="9"/>
        <v>280046</v>
      </c>
      <c r="D252">
        <f t="shared" si="9"/>
        <v>280046</v>
      </c>
      <c r="E252">
        <v>290791</v>
      </c>
      <c r="F252" s="169">
        <f t="shared" si="11"/>
        <v>307308</v>
      </c>
      <c r="G252" s="169">
        <f t="shared" si="12"/>
        <v>309683</v>
      </c>
      <c r="H252" s="169">
        <f t="shared" si="13"/>
        <v>325241</v>
      </c>
      <c r="I252" s="169">
        <v>334853</v>
      </c>
      <c r="J252" s="169">
        <v>347557</v>
      </c>
      <c r="K252" s="169">
        <v>359742</v>
      </c>
      <c r="L252" s="169">
        <v>371466</v>
      </c>
      <c r="M252" s="169">
        <v>383847</v>
      </c>
      <c r="N252" s="169">
        <v>396710</v>
      </c>
      <c r="O252" s="169">
        <v>409105</v>
      </c>
      <c r="P252" s="169">
        <v>420499</v>
      </c>
      <c r="Q252" s="15">
        <v>430063</v>
      </c>
      <c r="R252" s="15">
        <v>440590</v>
      </c>
      <c r="S252" s="15">
        <v>449724</v>
      </c>
      <c r="T252" s="15">
        <v>456209</v>
      </c>
      <c r="U252" s="15">
        <v>460801</v>
      </c>
      <c r="V252" s="15"/>
      <c r="W252" s="15"/>
      <c r="X252" s="15"/>
      <c r="Y252" s="15"/>
      <c r="Z252" s="15"/>
    </row>
    <row r="253" spans="1:26" x14ac:dyDescent="0.3">
      <c r="A253" t="s">
        <v>29</v>
      </c>
      <c r="B253">
        <v>69</v>
      </c>
      <c r="C253">
        <f t="shared" si="9"/>
        <v>261577</v>
      </c>
      <c r="D253">
        <f t="shared" si="9"/>
        <v>261577</v>
      </c>
      <c r="E253">
        <v>271329</v>
      </c>
      <c r="F253" s="169">
        <f t="shared" si="11"/>
        <v>282155</v>
      </c>
      <c r="G253" s="169">
        <f t="shared" si="12"/>
        <v>301894</v>
      </c>
      <c r="H253" s="169">
        <f t="shared" si="13"/>
        <v>305630</v>
      </c>
      <c r="I253" s="169">
        <v>324869</v>
      </c>
      <c r="J253" s="169">
        <v>338216</v>
      </c>
      <c r="K253" s="169">
        <v>351146</v>
      </c>
      <c r="L253" s="169">
        <v>363559</v>
      </c>
      <c r="M253" s="169">
        <v>375511</v>
      </c>
      <c r="N253" s="169">
        <v>388133</v>
      </c>
      <c r="O253" s="169">
        <v>401246</v>
      </c>
      <c r="P253" s="169">
        <v>413891</v>
      </c>
      <c r="Q253" s="15">
        <v>425529</v>
      </c>
      <c r="R253" s="15">
        <v>435316</v>
      </c>
      <c r="S253" s="15">
        <v>446083</v>
      </c>
      <c r="T253" s="15">
        <v>455436</v>
      </c>
      <c r="U253" s="15">
        <v>462108</v>
      </c>
      <c r="V253" s="15"/>
      <c r="W253" s="15"/>
      <c r="X253" s="15"/>
      <c r="Y253" s="15"/>
      <c r="Z253" s="15"/>
    </row>
    <row r="254" spans="1:26" x14ac:dyDescent="0.3">
      <c r="A254" t="s">
        <v>29</v>
      </c>
      <c r="B254">
        <v>70</v>
      </c>
      <c r="C254">
        <f t="shared" si="9"/>
        <v>249631</v>
      </c>
      <c r="D254">
        <f t="shared" si="9"/>
        <v>249631</v>
      </c>
      <c r="E254">
        <v>259910</v>
      </c>
      <c r="F254" s="169">
        <f t="shared" si="11"/>
        <v>273033</v>
      </c>
      <c r="G254" s="169">
        <f t="shared" si="12"/>
        <v>276501</v>
      </c>
      <c r="H254" s="169">
        <f t="shared" si="13"/>
        <v>297827</v>
      </c>
      <c r="I254" s="169">
        <v>305537</v>
      </c>
      <c r="J254" s="169">
        <v>317629</v>
      </c>
      <c r="K254" s="169">
        <v>330779</v>
      </c>
      <c r="L254" s="169">
        <v>343527</v>
      </c>
      <c r="M254" s="169">
        <v>355775</v>
      </c>
      <c r="N254" s="169">
        <v>367580</v>
      </c>
      <c r="O254" s="169">
        <v>380045</v>
      </c>
      <c r="P254" s="169">
        <v>392996</v>
      </c>
      <c r="Q254" s="15">
        <v>405497</v>
      </c>
      <c r="R254" s="15">
        <v>417014</v>
      </c>
      <c r="S254" s="15">
        <v>426720</v>
      </c>
      <c r="T254" s="15">
        <v>437388</v>
      </c>
      <c r="U254" s="15">
        <v>446672</v>
      </c>
      <c r="V254" s="15"/>
      <c r="W254" s="15"/>
      <c r="X254" s="15"/>
      <c r="Y254" s="15"/>
      <c r="Z254" s="15"/>
    </row>
    <row r="255" spans="1:26" x14ac:dyDescent="0.3">
      <c r="A255" t="s">
        <v>29</v>
      </c>
      <c r="B255">
        <v>71</v>
      </c>
      <c r="C255">
        <f t="shared" si="9"/>
        <v>232104</v>
      </c>
      <c r="D255">
        <f t="shared" si="9"/>
        <v>232104</v>
      </c>
      <c r="E255">
        <v>242989</v>
      </c>
      <c r="F255" s="169">
        <f t="shared" si="11"/>
        <v>253790</v>
      </c>
      <c r="G255" s="169">
        <f t="shared" si="12"/>
        <v>267204</v>
      </c>
      <c r="H255" s="169">
        <f t="shared" si="13"/>
        <v>272367</v>
      </c>
      <c r="I255" s="169">
        <v>297441</v>
      </c>
      <c r="J255" s="169">
        <v>308710</v>
      </c>
      <c r="K255" s="169">
        <v>321035</v>
      </c>
      <c r="L255" s="169">
        <v>334433</v>
      </c>
      <c r="M255" s="169">
        <v>347434</v>
      </c>
      <c r="N255" s="169">
        <v>359934</v>
      </c>
      <c r="O255" s="169">
        <v>371993</v>
      </c>
      <c r="P255" s="169">
        <v>384727</v>
      </c>
      <c r="Q255" s="15">
        <v>397961</v>
      </c>
      <c r="R255" s="15">
        <v>410742</v>
      </c>
      <c r="S255" s="15">
        <v>422536</v>
      </c>
      <c r="T255" s="15">
        <v>432492</v>
      </c>
      <c r="U255" s="15">
        <v>443429</v>
      </c>
      <c r="V255" s="15"/>
      <c r="W255" s="15"/>
      <c r="X255" s="15"/>
      <c r="Y255" s="15"/>
      <c r="Z255" s="15"/>
    </row>
    <row r="256" spans="1:26" x14ac:dyDescent="0.3">
      <c r="A256" t="s">
        <v>29</v>
      </c>
      <c r="B256">
        <v>72</v>
      </c>
      <c r="C256">
        <f t="shared" si="9"/>
        <v>210907</v>
      </c>
      <c r="D256">
        <f t="shared" si="9"/>
        <v>210907</v>
      </c>
      <c r="E256">
        <v>221739</v>
      </c>
      <c r="F256" s="169">
        <f t="shared" si="11"/>
        <v>243601</v>
      </c>
      <c r="G256" s="169">
        <f t="shared" si="12"/>
        <v>248100</v>
      </c>
      <c r="H256" s="169">
        <f t="shared" si="13"/>
        <v>262957</v>
      </c>
      <c r="I256" s="169">
        <v>272096</v>
      </c>
      <c r="J256" s="169">
        <v>283102</v>
      </c>
      <c r="K256" s="169">
        <v>293927</v>
      </c>
      <c r="L256" s="169">
        <v>305763</v>
      </c>
      <c r="M256" s="169">
        <v>318625</v>
      </c>
      <c r="N256" s="169">
        <v>331115</v>
      </c>
      <c r="O256" s="169">
        <v>343133</v>
      </c>
      <c r="P256" s="169">
        <v>354738</v>
      </c>
      <c r="Q256" s="15">
        <v>366993</v>
      </c>
      <c r="R256" s="15">
        <v>379731</v>
      </c>
      <c r="S256" s="15">
        <v>392046</v>
      </c>
      <c r="T256" s="15">
        <v>403417</v>
      </c>
      <c r="U256" s="15">
        <v>413038</v>
      </c>
      <c r="V256" s="15"/>
      <c r="W256" s="15"/>
      <c r="X256" s="15"/>
      <c r="Y256" s="15"/>
      <c r="Z256" s="15"/>
    </row>
    <row r="257" spans="1:26" x14ac:dyDescent="0.3">
      <c r="A257" t="s">
        <v>29</v>
      </c>
      <c r="B257">
        <v>73</v>
      </c>
      <c r="C257">
        <f t="shared" si="9"/>
        <v>196846</v>
      </c>
      <c r="D257">
        <f t="shared" si="9"/>
        <v>196846</v>
      </c>
      <c r="E257">
        <v>206735</v>
      </c>
      <c r="F257" s="169">
        <f t="shared" si="11"/>
        <v>226346</v>
      </c>
      <c r="G257" s="169">
        <f t="shared" si="12"/>
        <v>237670</v>
      </c>
      <c r="H257" s="169">
        <f t="shared" si="13"/>
        <v>243907</v>
      </c>
      <c r="I257" s="169">
        <v>262362</v>
      </c>
      <c r="J257" s="169">
        <v>273739</v>
      </c>
      <c r="K257" s="169">
        <v>284911</v>
      </c>
      <c r="L257" s="169">
        <v>295905</v>
      </c>
      <c r="M257" s="169">
        <v>307922</v>
      </c>
      <c r="N257" s="169">
        <v>320972</v>
      </c>
      <c r="O257" s="169">
        <v>333653</v>
      </c>
      <c r="P257" s="169">
        <v>345867</v>
      </c>
      <c r="Q257" s="15">
        <v>357674</v>
      </c>
      <c r="R257" s="15">
        <v>370142</v>
      </c>
      <c r="S257" s="15">
        <v>383105</v>
      </c>
      <c r="T257" s="15">
        <v>395642</v>
      </c>
      <c r="U257" s="15">
        <v>407234</v>
      </c>
      <c r="V257" s="15"/>
      <c r="W257" s="15"/>
      <c r="X257" s="15"/>
      <c r="Y257" s="15"/>
      <c r="Z257" s="15"/>
    </row>
    <row r="258" spans="1:26" x14ac:dyDescent="0.3">
      <c r="A258" t="s">
        <v>29</v>
      </c>
      <c r="B258">
        <v>74</v>
      </c>
      <c r="C258">
        <f t="shared" si="9"/>
        <v>191154</v>
      </c>
      <c r="D258">
        <f t="shared" si="9"/>
        <v>191154</v>
      </c>
      <c r="E258">
        <v>200885</v>
      </c>
      <c r="F258" s="169">
        <f t="shared" si="11"/>
        <v>208339</v>
      </c>
      <c r="G258" s="169">
        <f t="shared" si="11"/>
        <v>220729</v>
      </c>
      <c r="H258" s="169">
        <f t="shared" si="11"/>
        <v>233316</v>
      </c>
      <c r="I258" s="169">
        <v>242957</v>
      </c>
      <c r="J258" s="169">
        <v>254418</v>
      </c>
      <c r="K258" s="169">
        <v>265542</v>
      </c>
      <c r="L258" s="169">
        <v>276472</v>
      </c>
      <c r="M258" s="169">
        <v>287236</v>
      </c>
      <c r="N258" s="169">
        <v>298992</v>
      </c>
      <c r="O258" s="169">
        <v>311759</v>
      </c>
      <c r="P258" s="169">
        <v>324174</v>
      </c>
      <c r="Q258" s="15">
        <v>336139</v>
      </c>
      <c r="R258" s="15">
        <v>347719</v>
      </c>
      <c r="S258" s="15">
        <v>359945</v>
      </c>
      <c r="T258" s="15">
        <v>372657</v>
      </c>
      <c r="U258" s="15">
        <v>384963</v>
      </c>
      <c r="V258" s="15"/>
      <c r="W258" s="15"/>
      <c r="X258" s="15"/>
      <c r="Y258" s="15"/>
      <c r="Z258" s="15"/>
    </row>
    <row r="259" spans="1:26" x14ac:dyDescent="0.3">
      <c r="A259" t="s">
        <v>29</v>
      </c>
      <c r="B259">
        <v>75</v>
      </c>
      <c r="C259">
        <f t="shared" si="9"/>
        <v>177837</v>
      </c>
      <c r="D259">
        <f t="shared" si="9"/>
        <v>177837</v>
      </c>
      <c r="E259">
        <v>186037</v>
      </c>
      <c r="F259" s="169">
        <f t="shared" si="11"/>
        <v>190624</v>
      </c>
      <c r="G259" s="169">
        <f t="shared" si="11"/>
        <v>202468</v>
      </c>
      <c r="H259" s="169">
        <f t="shared" si="11"/>
        <v>215982</v>
      </c>
      <c r="I259" s="169">
        <v>232243</v>
      </c>
      <c r="J259" s="169">
        <v>242577</v>
      </c>
      <c r="K259" s="169">
        <v>254127</v>
      </c>
      <c r="L259" s="169">
        <v>265350</v>
      </c>
      <c r="M259" s="169">
        <v>276387</v>
      </c>
      <c r="N259" s="169">
        <v>287264</v>
      </c>
      <c r="O259" s="169">
        <v>299136</v>
      </c>
      <c r="P259" s="169">
        <v>312020</v>
      </c>
      <c r="Q259" s="15">
        <v>324561</v>
      </c>
      <c r="R259" s="15">
        <v>336660</v>
      </c>
      <c r="S259" s="15">
        <v>348383</v>
      </c>
      <c r="T259" s="15">
        <v>360761</v>
      </c>
      <c r="U259" s="15">
        <v>373630</v>
      </c>
      <c r="V259" s="15"/>
      <c r="W259" s="15"/>
      <c r="X259" s="15"/>
      <c r="Y259" s="15"/>
      <c r="Z259" s="15"/>
    </row>
    <row r="260" spans="1:26" x14ac:dyDescent="0.3">
      <c r="A260" t="s">
        <v>29</v>
      </c>
      <c r="B260">
        <v>76</v>
      </c>
      <c r="C260">
        <f t="shared" si="9"/>
        <v>164167</v>
      </c>
      <c r="D260">
        <f t="shared" si="9"/>
        <v>164167</v>
      </c>
      <c r="E260">
        <v>169926</v>
      </c>
      <c r="F260" s="169">
        <f t="shared" si="11"/>
        <v>180671</v>
      </c>
      <c r="G260" s="169">
        <f t="shared" si="11"/>
        <v>184899</v>
      </c>
      <c r="H260" s="169">
        <f t="shared" si="11"/>
        <v>197786</v>
      </c>
      <c r="I260" s="169">
        <v>214440</v>
      </c>
      <c r="J260" s="169">
        <v>223530</v>
      </c>
      <c r="K260" s="169">
        <v>233593</v>
      </c>
      <c r="L260" s="169">
        <v>244835</v>
      </c>
      <c r="M260" s="169">
        <v>255769</v>
      </c>
      <c r="N260" s="169">
        <v>266533</v>
      </c>
      <c r="O260" s="169">
        <v>277150</v>
      </c>
      <c r="P260" s="169">
        <v>288731</v>
      </c>
      <c r="Q260" s="15">
        <v>301298</v>
      </c>
      <c r="R260" s="15">
        <v>313542</v>
      </c>
      <c r="S260" s="15">
        <v>325368</v>
      </c>
      <c r="T260" s="15">
        <v>336839</v>
      </c>
      <c r="U260" s="15">
        <v>348948</v>
      </c>
      <c r="V260" s="15"/>
      <c r="W260" s="15"/>
      <c r="X260" s="15"/>
      <c r="Y260" s="15"/>
      <c r="Z260" s="15"/>
    </row>
    <row r="261" spans="1:26" x14ac:dyDescent="0.3">
      <c r="A261" t="s">
        <v>29</v>
      </c>
      <c r="B261">
        <v>77</v>
      </c>
      <c r="C261">
        <f t="shared" si="9"/>
        <v>153940</v>
      </c>
      <c r="D261">
        <f t="shared" si="9"/>
        <v>153940</v>
      </c>
      <c r="E261">
        <v>158204</v>
      </c>
      <c r="F261" s="169">
        <f t="shared" si="11"/>
        <v>170608</v>
      </c>
      <c r="G261" s="169">
        <f t="shared" si="11"/>
        <v>174806</v>
      </c>
      <c r="H261" s="169">
        <f t="shared" si="11"/>
        <v>179938</v>
      </c>
      <c r="I261" s="169">
        <v>196032</v>
      </c>
      <c r="J261" s="169">
        <v>205563</v>
      </c>
      <c r="K261" s="169">
        <v>214384</v>
      </c>
      <c r="L261" s="169">
        <v>224143</v>
      </c>
      <c r="M261" s="169">
        <v>235042</v>
      </c>
      <c r="N261" s="169">
        <v>245656</v>
      </c>
      <c r="O261" s="169">
        <v>256110</v>
      </c>
      <c r="P261" s="169">
        <v>266432</v>
      </c>
      <c r="Q261" s="15">
        <v>277686</v>
      </c>
      <c r="R261" s="15">
        <v>289896</v>
      </c>
      <c r="S261" s="15">
        <v>301803</v>
      </c>
      <c r="T261" s="15">
        <v>313316</v>
      </c>
      <c r="U261" s="15">
        <v>324494</v>
      </c>
      <c r="V261" s="15"/>
      <c r="W261" s="15"/>
      <c r="X261" s="15"/>
      <c r="Y261" s="15"/>
      <c r="Z261" s="15"/>
    </row>
    <row r="262" spans="1:26" x14ac:dyDescent="0.3">
      <c r="A262" t="s">
        <v>29</v>
      </c>
      <c r="B262">
        <v>78</v>
      </c>
      <c r="C262">
        <f t="shared" si="9"/>
        <v>154603</v>
      </c>
      <c r="D262">
        <f t="shared" si="9"/>
        <v>154603</v>
      </c>
      <c r="E262">
        <v>158293</v>
      </c>
      <c r="F262" s="169">
        <f t="shared" si="11"/>
        <v>160488</v>
      </c>
      <c r="G262" s="169">
        <f t="shared" si="11"/>
        <v>164469</v>
      </c>
      <c r="H262" s="169">
        <f t="shared" si="11"/>
        <v>169778</v>
      </c>
      <c r="I262" s="169">
        <v>177711</v>
      </c>
      <c r="J262" s="169">
        <v>187989</v>
      </c>
      <c r="K262" s="169">
        <v>197227</v>
      </c>
      <c r="L262" s="169">
        <v>205789</v>
      </c>
      <c r="M262" s="169">
        <v>215259</v>
      </c>
      <c r="N262" s="169">
        <v>225832</v>
      </c>
      <c r="O262" s="169">
        <v>236135</v>
      </c>
      <c r="P262" s="169">
        <v>246295</v>
      </c>
      <c r="Q262" s="15">
        <v>256335</v>
      </c>
      <c r="R262" s="15">
        <v>267277</v>
      </c>
      <c r="S262" s="15">
        <v>279148</v>
      </c>
      <c r="T262" s="15">
        <v>290731</v>
      </c>
      <c r="U262" s="15">
        <v>301944</v>
      </c>
      <c r="V262" s="15"/>
      <c r="W262" s="15"/>
      <c r="X262" s="15"/>
      <c r="Y262" s="15"/>
      <c r="Z262" s="15"/>
    </row>
    <row r="263" spans="1:26" x14ac:dyDescent="0.3">
      <c r="A263" t="s">
        <v>29</v>
      </c>
      <c r="B263">
        <v>79</v>
      </c>
      <c r="C263">
        <f t="shared" si="9"/>
        <v>142675</v>
      </c>
      <c r="D263">
        <f t="shared" si="9"/>
        <v>142675</v>
      </c>
      <c r="E263">
        <v>145070</v>
      </c>
      <c r="F263" s="169">
        <f t="shared" si="11"/>
        <v>141985</v>
      </c>
      <c r="G263" s="169">
        <f t="shared" si="11"/>
        <v>153947</v>
      </c>
      <c r="H263" s="169">
        <f t="shared" si="11"/>
        <v>159314</v>
      </c>
      <c r="I263" s="169">
        <v>166988</v>
      </c>
      <c r="J263" s="169">
        <v>177737</v>
      </c>
      <c r="K263" s="169">
        <v>188108</v>
      </c>
      <c r="L263" s="169">
        <v>197447</v>
      </c>
      <c r="M263" s="169">
        <v>206116</v>
      </c>
      <c r="N263" s="169">
        <v>215703</v>
      </c>
      <c r="O263" s="169">
        <v>226401</v>
      </c>
      <c r="P263" s="169">
        <v>236837</v>
      </c>
      <c r="Q263" s="15">
        <v>247137</v>
      </c>
      <c r="R263" s="15">
        <v>257322</v>
      </c>
      <c r="S263" s="15">
        <v>268420</v>
      </c>
      <c r="T263" s="15">
        <v>280456</v>
      </c>
      <c r="U263" s="15">
        <v>292209</v>
      </c>
      <c r="V263" s="15"/>
      <c r="W263" s="15"/>
      <c r="X263" s="15"/>
      <c r="Y263" s="15"/>
      <c r="Z263" s="15"/>
    </row>
    <row r="264" spans="1:26" x14ac:dyDescent="0.3">
      <c r="A264" t="s">
        <v>29</v>
      </c>
      <c r="B264">
        <v>80</v>
      </c>
      <c r="C264">
        <f t="shared" ref="C264:D274" si="14">C82+C173</f>
        <v>131448</v>
      </c>
      <c r="D264">
        <f t="shared" si="14"/>
        <v>131448</v>
      </c>
      <c r="E264">
        <v>134770</v>
      </c>
      <c r="F264" s="169">
        <f t="shared" si="11"/>
        <v>141716</v>
      </c>
      <c r="G264" s="169">
        <f t="shared" ref="G264:G271" si="15">G82+G173</f>
        <v>135644</v>
      </c>
      <c r="H264" s="169">
        <f t="shared" ref="H264:H271" si="16">H82+H173</f>
        <v>148394</v>
      </c>
      <c r="I264" s="169">
        <v>156517</v>
      </c>
      <c r="J264" s="169">
        <v>164341</v>
      </c>
      <c r="K264" s="169">
        <v>175021</v>
      </c>
      <c r="L264" s="169">
        <v>185340</v>
      </c>
      <c r="M264" s="169">
        <v>194652</v>
      </c>
      <c r="N264" s="169">
        <v>203311</v>
      </c>
      <c r="O264" s="169">
        <v>212880</v>
      </c>
      <c r="P264" s="169">
        <v>223554</v>
      </c>
      <c r="Q264" s="15">
        <v>233981</v>
      </c>
      <c r="R264" s="15">
        <v>244283</v>
      </c>
      <c r="S264" s="15">
        <v>254479</v>
      </c>
      <c r="T264" s="15">
        <v>265586</v>
      </c>
      <c r="U264" s="15">
        <v>277628</v>
      </c>
      <c r="V264" s="15"/>
      <c r="W264" s="15"/>
      <c r="X264" s="15"/>
      <c r="Y264" s="15"/>
      <c r="Z264" s="15"/>
    </row>
    <row r="265" spans="1:26" x14ac:dyDescent="0.3">
      <c r="A265" t="s">
        <v>29</v>
      </c>
      <c r="B265">
        <v>81</v>
      </c>
      <c r="C265">
        <f t="shared" si="14"/>
        <v>120921</v>
      </c>
      <c r="D265">
        <f t="shared" si="14"/>
        <v>120921</v>
      </c>
      <c r="E265">
        <v>125931</v>
      </c>
      <c r="F265" s="169">
        <f t="shared" si="11"/>
        <v>132321</v>
      </c>
      <c r="G265" s="169">
        <f t="shared" si="15"/>
        <v>134917</v>
      </c>
      <c r="H265" s="169">
        <f t="shared" si="16"/>
        <v>130479</v>
      </c>
      <c r="I265" s="169">
        <v>144985</v>
      </c>
      <c r="J265" s="169">
        <v>149251</v>
      </c>
      <c r="K265" s="169">
        <v>156814</v>
      </c>
      <c r="L265" s="169">
        <v>167115</v>
      </c>
      <c r="M265" s="169">
        <v>177083</v>
      </c>
      <c r="N265" s="169">
        <v>186101</v>
      </c>
      <c r="O265" s="169">
        <v>194506</v>
      </c>
      <c r="P265" s="169">
        <v>203789</v>
      </c>
      <c r="Q265" s="15">
        <v>214140</v>
      </c>
      <c r="R265" s="15">
        <v>224266</v>
      </c>
      <c r="S265" s="15">
        <v>234283</v>
      </c>
      <c r="T265" s="15">
        <v>244208</v>
      </c>
      <c r="U265" s="15">
        <v>255013</v>
      </c>
      <c r="V265" s="15"/>
      <c r="W265" s="15"/>
      <c r="X265" s="15"/>
      <c r="Y265" s="15"/>
      <c r="Z265" s="15"/>
    </row>
    <row r="266" spans="1:26" x14ac:dyDescent="0.3">
      <c r="A266" t="s">
        <v>29</v>
      </c>
      <c r="B266">
        <v>82</v>
      </c>
      <c r="C266">
        <f t="shared" si="14"/>
        <v>116717</v>
      </c>
      <c r="D266">
        <f t="shared" si="14"/>
        <v>116717</v>
      </c>
      <c r="E266">
        <v>123117</v>
      </c>
      <c r="F266" s="169">
        <f t="shared" si="11"/>
        <v>123396</v>
      </c>
      <c r="G266" s="169">
        <f t="shared" si="15"/>
        <v>125295</v>
      </c>
      <c r="H266" s="169">
        <f t="shared" si="16"/>
        <v>128785</v>
      </c>
      <c r="I266" s="169">
        <v>127014</v>
      </c>
      <c r="J266" s="169">
        <v>130257</v>
      </c>
      <c r="K266" s="169">
        <v>134183</v>
      </c>
      <c r="L266" s="169">
        <v>141079</v>
      </c>
      <c r="M266" s="169">
        <v>150447</v>
      </c>
      <c r="N266" s="169">
        <v>159524</v>
      </c>
      <c r="O266" s="169">
        <v>167756</v>
      </c>
      <c r="P266" s="169">
        <v>175442</v>
      </c>
      <c r="Q266" s="15">
        <v>183927</v>
      </c>
      <c r="R266" s="15">
        <v>193385</v>
      </c>
      <c r="S266" s="15">
        <v>202649</v>
      </c>
      <c r="T266" s="15">
        <v>211824</v>
      </c>
      <c r="U266" s="15">
        <v>220924</v>
      </c>
      <c r="V266" s="15"/>
      <c r="W266" s="15"/>
      <c r="X266" s="15"/>
      <c r="Y266" s="15"/>
      <c r="Z266" s="15"/>
    </row>
    <row r="267" spans="1:26" x14ac:dyDescent="0.3">
      <c r="A267" t="s">
        <v>29</v>
      </c>
      <c r="B267">
        <v>83</v>
      </c>
      <c r="C267">
        <f t="shared" si="14"/>
        <v>105350</v>
      </c>
      <c r="D267">
        <f t="shared" si="14"/>
        <v>105350</v>
      </c>
      <c r="E267">
        <v>110475</v>
      </c>
      <c r="F267" s="169">
        <f t="shared" si="11"/>
        <v>108415</v>
      </c>
      <c r="G267" s="169">
        <f t="shared" si="15"/>
        <v>116097</v>
      </c>
      <c r="H267" s="169">
        <f t="shared" si="16"/>
        <v>118824</v>
      </c>
      <c r="I267" s="169">
        <v>124256</v>
      </c>
      <c r="J267" s="169">
        <v>127513</v>
      </c>
      <c r="K267" s="169">
        <v>130857</v>
      </c>
      <c r="L267" s="169">
        <v>134889</v>
      </c>
      <c r="M267" s="169">
        <v>141910</v>
      </c>
      <c r="N267" s="169">
        <v>151425</v>
      </c>
      <c r="O267" s="169">
        <v>160661</v>
      </c>
      <c r="P267" s="169">
        <v>169058</v>
      </c>
      <c r="Q267" s="15">
        <v>176914</v>
      </c>
      <c r="R267" s="15">
        <v>185586</v>
      </c>
      <c r="S267" s="15">
        <v>195248</v>
      </c>
      <c r="T267" s="15">
        <v>204723</v>
      </c>
      <c r="U267" s="15">
        <v>214117</v>
      </c>
      <c r="V267" s="15"/>
      <c r="W267" s="15"/>
      <c r="X267" s="15"/>
      <c r="Y267" s="15"/>
      <c r="Z267" s="15"/>
    </row>
    <row r="268" spans="1:26" x14ac:dyDescent="0.3">
      <c r="A268" t="s">
        <v>29</v>
      </c>
      <c r="B268">
        <v>84</v>
      </c>
      <c r="C268">
        <f t="shared" si="14"/>
        <v>92531</v>
      </c>
      <c r="D268">
        <f t="shared" si="14"/>
        <v>92531</v>
      </c>
      <c r="E268">
        <v>96730</v>
      </c>
      <c r="F268" s="169">
        <f t="shared" si="11"/>
        <v>104625</v>
      </c>
      <c r="G268" s="169">
        <f t="shared" si="15"/>
        <v>101137</v>
      </c>
      <c r="H268" s="169">
        <f t="shared" si="16"/>
        <v>109532</v>
      </c>
      <c r="I268" s="169">
        <v>114198</v>
      </c>
      <c r="J268" s="169">
        <v>118303</v>
      </c>
      <c r="K268" s="169">
        <v>121486</v>
      </c>
      <c r="L268" s="169">
        <v>124754</v>
      </c>
      <c r="M268" s="169">
        <v>128679</v>
      </c>
      <c r="N268" s="169">
        <v>135460</v>
      </c>
      <c r="O268" s="169">
        <v>144631</v>
      </c>
      <c r="P268" s="169">
        <v>153545</v>
      </c>
      <c r="Q268" s="15">
        <v>161670</v>
      </c>
      <c r="R268" s="15">
        <v>169287</v>
      </c>
      <c r="S268" s="15">
        <v>177693</v>
      </c>
      <c r="T268" s="15">
        <v>187055</v>
      </c>
      <c r="U268" s="15">
        <v>196245</v>
      </c>
      <c r="V268" s="15"/>
      <c r="W268" s="15"/>
      <c r="X268" s="15"/>
      <c r="Y268" s="15"/>
      <c r="Z268" s="15"/>
    </row>
    <row r="269" spans="1:26" x14ac:dyDescent="0.3">
      <c r="A269" t="s">
        <v>29</v>
      </c>
      <c r="B269">
        <v>85</v>
      </c>
      <c r="C269">
        <f t="shared" si="14"/>
        <v>83463</v>
      </c>
      <c r="D269">
        <f t="shared" si="14"/>
        <v>83463</v>
      </c>
      <c r="E269">
        <v>87256</v>
      </c>
      <c r="F269" s="169">
        <f t="shared" si="11"/>
        <v>94085</v>
      </c>
      <c r="G269" s="169">
        <f t="shared" si="15"/>
        <v>96829</v>
      </c>
      <c r="H269" s="169">
        <f t="shared" si="16"/>
        <v>94564</v>
      </c>
      <c r="I269" s="169">
        <v>104424</v>
      </c>
      <c r="J269" s="169">
        <v>107200</v>
      </c>
      <c r="K269" s="169">
        <v>111152</v>
      </c>
      <c r="L269" s="169">
        <v>114245</v>
      </c>
      <c r="M269" s="169">
        <v>117419</v>
      </c>
      <c r="N269" s="169">
        <v>121215</v>
      </c>
      <c r="O269" s="169">
        <v>127709</v>
      </c>
      <c r="P269" s="169">
        <v>136465</v>
      </c>
      <c r="Q269" s="15">
        <v>144993</v>
      </c>
      <c r="R269" s="15">
        <v>152789</v>
      </c>
      <c r="S269" s="15">
        <v>160114</v>
      </c>
      <c r="T269" s="15">
        <v>168197</v>
      </c>
      <c r="U269" s="15">
        <v>177191</v>
      </c>
      <c r="V269" s="15"/>
      <c r="W269" s="15"/>
      <c r="X269" s="15"/>
      <c r="Y269" s="15"/>
      <c r="Z269" s="15"/>
    </row>
    <row r="270" spans="1:26" x14ac:dyDescent="0.3">
      <c r="A270" t="s">
        <v>29</v>
      </c>
      <c r="B270">
        <v>86</v>
      </c>
      <c r="C270">
        <f t="shared" si="14"/>
        <v>77912</v>
      </c>
      <c r="D270">
        <f t="shared" si="14"/>
        <v>77912</v>
      </c>
      <c r="E270">
        <v>80993</v>
      </c>
      <c r="F270" s="169">
        <f t="shared" si="11"/>
        <v>83277</v>
      </c>
      <c r="G270" s="169">
        <f t="shared" si="15"/>
        <v>86404</v>
      </c>
      <c r="H270" s="169">
        <f t="shared" si="16"/>
        <v>89828</v>
      </c>
      <c r="I270" s="169">
        <v>89576</v>
      </c>
      <c r="J270" s="169">
        <v>91754</v>
      </c>
      <c r="K270" s="169">
        <v>94304</v>
      </c>
      <c r="L270" s="169">
        <v>97895</v>
      </c>
      <c r="M270" s="169">
        <v>100731</v>
      </c>
      <c r="N270" s="169">
        <v>103645</v>
      </c>
      <c r="O270" s="169">
        <v>107114</v>
      </c>
      <c r="P270" s="169">
        <v>112972</v>
      </c>
      <c r="Q270" s="15">
        <v>120844</v>
      </c>
      <c r="R270" s="15">
        <v>128529</v>
      </c>
      <c r="S270" s="15">
        <v>135578</v>
      </c>
      <c r="T270" s="15">
        <v>142221</v>
      </c>
      <c r="U270" s="15">
        <v>149548</v>
      </c>
      <c r="V270" s="15"/>
      <c r="W270" s="15"/>
      <c r="X270" s="15"/>
      <c r="Y270" s="15"/>
      <c r="Z270" s="15"/>
    </row>
    <row r="271" spans="1:26" x14ac:dyDescent="0.3">
      <c r="A271" t="s">
        <v>29</v>
      </c>
      <c r="B271">
        <v>87</v>
      </c>
      <c r="C271">
        <f t="shared" si="14"/>
        <v>70928</v>
      </c>
      <c r="D271">
        <f t="shared" si="14"/>
        <v>70928</v>
      </c>
      <c r="E271">
        <v>73529</v>
      </c>
      <c r="F271" s="169">
        <f t="shared" si="11"/>
        <v>70433</v>
      </c>
      <c r="G271" s="169">
        <f t="shared" si="15"/>
        <v>75736</v>
      </c>
      <c r="H271" s="169">
        <f t="shared" si="16"/>
        <v>79359</v>
      </c>
      <c r="I271" s="169">
        <v>84123</v>
      </c>
      <c r="J271" s="169">
        <v>88321</v>
      </c>
      <c r="K271" s="169">
        <v>90570</v>
      </c>
      <c r="L271" s="169">
        <v>93194</v>
      </c>
      <c r="M271" s="169">
        <v>96850</v>
      </c>
      <c r="N271" s="169">
        <v>99766</v>
      </c>
      <c r="O271" s="169">
        <v>102762</v>
      </c>
      <c r="P271" s="169">
        <v>106312</v>
      </c>
      <c r="Q271" s="15">
        <v>112241</v>
      </c>
      <c r="R271" s="15">
        <v>120183</v>
      </c>
      <c r="S271" s="15">
        <v>127954</v>
      </c>
      <c r="T271" s="15">
        <v>135106</v>
      </c>
      <c r="U271" s="15">
        <v>141868</v>
      </c>
      <c r="V271" s="15"/>
      <c r="W271" s="15"/>
      <c r="X271" s="15"/>
      <c r="Y271" s="15"/>
      <c r="Z271" s="15"/>
    </row>
    <row r="272" spans="1:26" x14ac:dyDescent="0.3">
      <c r="A272" t="s">
        <v>29</v>
      </c>
      <c r="B272">
        <v>88</v>
      </c>
      <c r="C272">
        <f t="shared" si="14"/>
        <v>63674</v>
      </c>
      <c r="D272">
        <f t="shared" si="14"/>
        <v>63674</v>
      </c>
      <c r="E272">
        <v>65665</v>
      </c>
      <c r="F272" s="169">
        <f t="shared" si="11"/>
        <v>66000</v>
      </c>
      <c r="G272" s="169">
        <f t="shared" si="11"/>
        <v>63220</v>
      </c>
      <c r="H272" s="169">
        <f t="shared" si="11"/>
        <v>68746</v>
      </c>
      <c r="I272" s="169">
        <v>73441</v>
      </c>
      <c r="J272" s="169">
        <v>78561</v>
      </c>
      <c r="K272" s="169">
        <v>82582</v>
      </c>
      <c r="L272" s="169">
        <v>84784</v>
      </c>
      <c r="M272" s="169">
        <v>87342</v>
      </c>
      <c r="N272" s="169">
        <v>90870</v>
      </c>
      <c r="O272" s="169">
        <v>93709</v>
      </c>
      <c r="P272" s="169">
        <v>96627</v>
      </c>
      <c r="Q272" s="15">
        <v>100072</v>
      </c>
      <c r="R272" s="15">
        <v>105767</v>
      </c>
      <c r="S272" s="15">
        <v>113366</v>
      </c>
      <c r="T272" s="15">
        <v>120815</v>
      </c>
      <c r="U272" s="15">
        <v>127695</v>
      </c>
      <c r="V272" s="15"/>
      <c r="W272" s="15"/>
      <c r="X272" s="15"/>
      <c r="Y272" s="15"/>
      <c r="Z272" s="15"/>
    </row>
    <row r="273" spans="1:26" x14ac:dyDescent="0.3">
      <c r="A273" t="s">
        <v>29</v>
      </c>
      <c r="B273">
        <v>89</v>
      </c>
      <c r="C273">
        <f t="shared" si="14"/>
        <v>53644</v>
      </c>
      <c r="D273">
        <f t="shared" si="14"/>
        <v>53644</v>
      </c>
      <c r="E273">
        <v>54951</v>
      </c>
      <c r="F273" s="169">
        <f t="shared" si="11"/>
        <v>55855</v>
      </c>
      <c r="G273" s="169">
        <f t="shared" si="11"/>
        <v>58650</v>
      </c>
      <c r="H273" s="169">
        <f t="shared" si="11"/>
        <v>56769</v>
      </c>
      <c r="I273" s="169">
        <v>62912</v>
      </c>
      <c r="J273" s="169">
        <v>68043</v>
      </c>
      <c r="K273" s="169">
        <v>72866</v>
      </c>
      <c r="L273" s="169">
        <v>76679</v>
      </c>
      <c r="M273" s="169">
        <v>78811</v>
      </c>
      <c r="N273" s="169">
        <v>81277</v>
      </c>
      <c r="O273" s="169">
        <v>84653</v>
      </c>
      <c r="P273" s="169">
        <v>87391</v>
      </c>
      <c r="Q273" s="15">
        <v>90206</v>
      </c>
      <c r="R273" s="15">
        <v>93518</v>
      </c>
      <c r="S273" s="15">
        <v>98937</v>
      </c>
      <c r="T273" s="15">
        <v>106150</v>
      </c>
      <c r="U273" s="15">
        <v>113233</v>
      </c>
      <c r="V273" s="15"/>
      <c r="W273" s="15"/>
      <c r="X273" s="15"/>
      <c r="Y273" s="15"/>
      <c r="Z273" s="15"/>
    </row>
    <row r="274" spans="1:26" x14ac:dyDescent="0.3">
      <c r="A274" t="s">
        <v>29</v>
      </c>
      <c r="B274">
        <v>90</v>
      </c>
      <c r="C274">
        <f t="shared" si="14"/>
        <v>198628</v>
      </c>
      <c r="D274">
        <f t="shared" si="14"/>
        <v>198628</v>
      </c>
      <c r="E274">
        <v>210123</v>
      </c>
      <c r="F274" s="169">
        <f t="shared" si="11"/>
        <v>234479</v>
      </c>
      <c r="G274" s="169">
        <f t="shared" si="11"/>
        <v>240701</v>
      </c>
      <c r="H274" s="169">
        <f t="shared" si="11"/>
        <v>250260</v>
      </c>
      <c r="I274" s="169">
        <v>262810</v>
      </c>
      <c r="J274" s="169">
        <v>274122</v>
      </c>
      <c r="K274" s="169">
        <v>288600</v>
      </c>
      <c r="L274" s="169">
        <v>305352</v>
      </c>
      <c r="M274" s="169">
        <v>323026</v>
      </c>
      <c r="N274" s="169">
        <v>339909</v>
      </c>
      <c r="O274" s="169">
        <v>356464</v>
      </c>
      <c r="P274" s="169">
        <v>373611</v>
      </c>
      <c r="Q274" s="15">
        <v>390652</v>
      </c>
      <c r="R274" s="15">
        <v>407691</v>
      </c>
      <c r="S274" s="15">
        <v>425203</v>
      </c>
      <c r="T274" s="15">
        <v>445095</v>
      </c>
      <c r="U274" s="15">
        <v>468653</v>
      </c>
      <c r="V274" s="15"/>
      <c r="W274" s="15"/>
      <c r="X274" s="15"/>
      <c r="Y274" s="15"/>
      <c r="Z274" s="15"/>
    </row>
    <row r="275" spans="1:26" x14ac:dyDescent="0.3">
      <c r="P275" s="169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9"/>
  <dimension ref="B2:J42"/>
  <sheetViews>
    <sheetView showGridLines="0" zoomScale="90" zoomScaleNormal="90" workbookViewId="0">
      <selection activeCell="G19" sqref="G19"/>
    </sheetView>
  </sheetViews>
  <sheetFormatPr defaultColWidth="8.88671875" defaultRowHeight="14.4" x14ac:dyDescent="0.3"/>
  <cols>
    <col min="2" max="2" width="6" customWidth="1"/>
    <col min="3" max="3" width="21.88671875" customWidth="1"/>
    <col min="5" max="5" width="15" bestFit="1" customWidth="1"/>
    <col min="6" max="6" width="14.109375" customWidth="1"/>
    <col min="7" max="7" width="15" bestFit="1" customWidth="1"/>
    <col min="8" max="8" width="15.5546875" customWidth="1"/>
    <col min="9" max="9" width="13.109375" customWidth="1"/>
    <col min="10" max="10" width="13.109375" bestFit="1" customWidth="1"/>
    <col min="11" max="11" width="18.88671875" bestFit="1" customWidth="1"/>
    <col min="15" max="15" width="42.6640625" bestFit="1" customWidth="1"/>
  </cols>
  <sheetData>
    <row r="2" spans="2:10" x14ac:dyDescent="0.3">
      <c r="B2" s="2"/>
      <c r="C2" s="3"/>
      <c r="D2" s="3"/>
      <c r="E2" s="3"/>
      <c r="F2" s="3"/>
      <c r="G2" s="3"/>
      <c r="H2" s="3"/>
      <c r="I2" s="3"/>
      <c r="J2" s="4"/>
    </row>
    <row r="3" spans="2:10" ht="15.6" x14ac:dyDescent="0.3">
      <c r="B3" s="5"/>
      <c r="C3" s="17" t="s">
        <v>59</v>
      </c>
      <c r="D3" s="8"/>
      <c r="E3" s="8"/>
      <c r="F3" s="8"/>
      <c r="G3" s="8"/>
      <c r="H3" s="8"/>
      <c r="I3" s="8"/>
      <c r="J3" s="6"/>
    </row>
    <row r="4" spans="2:10" x14ac:dyDescent="0.3">
      <c r="B4" s="5"/>
      <c r="J4" s="6"/>
    </row>
    <row r="5" spans="2:10" ht="39" customHeight="1" thickBot="1" x14ac:dyDescent="0.35">
      <c r="B5" s="5"/>
      <c r="C5" s="83" t="s">
        <v>44</v>
      </c>
      <c r="E5" s="83" t="s">
        <v>50</v>
      </c>
      <c r="G5" s="83" t="s">
        <v>4</v>
      </c>
      <c r="I5" s="83" t="s">
        <v>6</v>
      </c>
      <c r="J5" s="6"/>
    </row>
    <row r="6" spans="2:10" ht="15.6" thickTop="1" thickBot="1" x14ac:dyDescent="0.35">
      <c r="B6" s="5"/>
      <c r="C6" s="87">
        <v>1</v>
      </c>
      <c r="E6" s="88">
        <v>1</v>
      </c>
      <c r="F6">
        <v>1</v>
      </c>
      <c r="G6" s="87">
        <f>Criterios!C31</f>
        <v>2026</v>
      </c>
      <c r="I6" s="89" t="s">
        <v>7</v>
      </c>
      <c r="J6" s="6"/>
    </row>
    <row r="7" spans="2:10" ht="15.6" thickTop="1" thickBot="1" x14ac:dyDescent="0.35">
      <c r="B7" s="5"/>
      <c r="C7" s="87">
        <v>2</v>
      </c>
      <c r="E7" s="88">
        <v>2</v>
      </c>
      <c r="F7">
        <v>2</v>
      </c>
      <c r="G7" s="87">
        <f>G6+1</f>
        <v>2027</v>
      </c>
      <c r="I7" s="89" t="s">
        <v>8</v>
      </c>
      <c r="J7" s="6"/>
    </row>
    <row r="8" spans="2:10" ht="15.6" thickTop="1" thickBot="1" x14ac:dyDescent="0.35">
      <c r="B8" s="5"/>
      <c r="C8" s="87">
        <v>3</v>
      </c>
      <c r="E8" s="88">
        <v>3</v>
      </c>
      <c r="F8">
        <v>3</v>
      </c>
      <c r="G8" s="87">
        <f t="shared" ref="G8:G19" si="0">G7+1</f>
        <v>2028</v>
      </c>
      <c r="I8" s="89" t="s">
        <v>9</v>
      </c>
      <c r="J8" s="6"/>
    </row>
    <row r="9" spans="2:10" ht="15.6" thickTop="1" thickBot="1" x14ac:dyDescent="0.35">
      <c r="B9" s="5"/>
      <c r="C9" s="87">
        <v>4</v>
      </c>
      <c r="E9" s="88">
        <v>4</v>
      </c>
      <c r="F9">
        <v>4</v>
      </c>
      <c r="G9" s="87">
        <f t="shared" si="0"/>
        <v>2029</v>
      </c>
      <c r="I9" s="89" t="s">
        <v>10</v>
      </c>
      <c r="J9" s="6"/>
    </row>
    <row r="10" spans="2:10" ht="15.6" thickTop="1" thickBot="1" x14ac:dyDescent="0.35">
      <c r="B10" s="5"/>
      <c r="C10" s="90">
        <v>1</v>
      </c>
      <c r="E10" s="88">
        <v>5</v>
      </c>
      <c r="F10">
        <v>5</v>
      </c>
      <c r="G10" s="87">
        <f t="shared" si="0"/>
        <v>2030</v>
      </c>
      <c r="I10" s="89" t="s">
        <v>11</v>
      </c>
      <c r="J10" s="6"/>
    </row>
    <row r="11" spans="2:10" ht="15.6" thickTop="1" thickBot="1" x14ac:dyDescent="0.35">
      <c r="B11" s="5"/>
      <c r="E11" s="88">
        <v>6</v>
      </c>
      <c r="F11">
        <v>6</v>
      </c>
      <c r="G11" s="87">
        <f t="shared" si="0"/>
        <v>2031</v>
      </c>
      <c r="I11" s="89" t="s">
        <v>12</v>
      </c>
      <c r="J11" s="6"/>
    </row>
    <row r="12" spans="2:10" ht="15.6" thickTop="1" thickBot="1" x14ac:dyDescent="0.35">
      <c r="B12" s="5"/>
      <c r="E12" s="88">
        <v>7</v>
      </c>
      <c r="F12">
        <v>7</v>
      </c>
      <c r="G12" s="87">
        <f t="shared" si="0"/>
        <v>2032</v>
      </c>
      <c r="I12" s="89" t="s">
        <v>13</v>
      </c>
      <c r="J12" s="6"/>
    </row>
    <row r="13" spans="2:10" ht="15.6" thickTop="1" thickBot="1" x14ac:dyDescent="0.35">
      <c r="B13" s="5"/>
      <c r="E13" s="88">
        <v>8</v>
      </c>
      <c r="F13">
        <v>8</v>
      </c>
      <c r="G13" s="87">
        <f t="shared" si="0"/>
        <v>2033</v>
      </c>
      <c r="I13" s="89" t="s">
        <v>14</v>
      </c>
      <c r="J13" s="6"/>
    </row>
    <row r="14" spans="2:10" ht="15.6" thickTop="1" thickBot="1" x14ac:dyDescent="0.35">
      <c r="B14" s="5"/>
      <c r="E14" s="88">
        <v>9</v>
      </c>
      <c r="F14">
        <v>9</v>
      </c>
      <c r="G14" s="87">
        <f t="shared" si="0"/>
        <v>2034</v>
      </c>
      <c r="I14" s="89" t="s">
        <v>15</v>
      </c>
      <c r="J14" s="6"/>
    </row>
    <row r="15" spans="2:10" ht="15.6" thickTop="1" thickBot="1" x14ac:dyDescent="0.35">
      <c r="B15" s="5"/>
      <c r="E15" s="88">
        <v>10</v>
      </c>
      <c r="F15">
        <v>10</v>
      </c>
      <c r="G15" s="87">
        <f t="shared" si="0"/>
        <v>2035</v>
      </c>
      <c r="I15" s="89" t="s">
        <v>16</v>
      </c>
      <c r="J15" s="6"/>
    </row>
    <row r="16" spans="2:10" ht="15.6" thickTop="1" thickBot="1" x14ac:dyDescent="0.35">
      <c r="B16" s="5"/>
      <c r="E16" s="90">
        <v>1</v>
      </c>
      <c r="F16">
        <v>11</v>
      </c>
      <c r="G16" s="87">
        <f t="shared" si="0"/>
        <v>2036</v>
      </c>
      <c r="I16" s="90">
        <v>5</v>
      </c>
      <c r="J16" s="145">
        <f>I16</f>
        <v>5</v>
      </c>
    </row>
    <row r="17" spans="2:10" ht="15.6" thickTop="1" thickBot="1" x14ac:dyDescent="0.35">
      <c r="B17" s="5"/>
      <c r="F17">
        <v>12</v>
      </c>
      <c r="G17" s="87">
        <f t="shared" si="0"/>
        <v>2037</v>
      </c>
      <c r="J17" s="6"/>
    </row>
    <row r="18" spans="2:10" ht="15.6" thickTop="1" thickBot="1" x14ac:dyDescent="0.35">
      <c r="B18" s="5"/>
      <c r="F18">
        <v>13</v>
      </c>
      <c r="G18" s="87">
        <f t="shared" si="0"/>
        <v>2038</v>
      </c>
      <c r="J18" s="6"/>
    </row>
    <row r="19" spans="2:10" ht="15.6" thickTop="1" thickBot="1" x14ac:dyDescent="0.35">
      <c r="B19" s="5"/>
      <c r="F19">
        <v>14</v>
      </c>
      <c r="G19" s="87">
        <f t="shared" si="0"/>
        <v>2039</v>
      </c>
      <c r="J19" s="6"/>
    </row>
    <row r="20" spans="2:10" ht="15.6" thickTop="1" thickBot="1" x14ac:dyDescent="0.35">
      <c r="B20" s="5"/>
      <c r="G20" s="90">
        <v>2</v>
      </c>
      <c r="J20" s="6"/>
    </row>
    <row r="21" spans="2:10" ht="15" thickTop="1" x14ac:dyDescent="0.3">
      <c r="B21" s="5"/>
      <c r="G21">
        <f>VLOOKUP($G$20,$F$6:$G$19,2,FALSE)</f>
        <v>2027</v>
      </c>
      <c r="J21" s="6"/>
    </row>
    <row r="22" spans="2:10" x14ac:dyDescent="0.3">
      <c r="B22" s="7"/>
      <c r="C22" s="8"/>
      <c r="D22" s="8"/>
      <c r="E22" s="8"/>
      <c r="F22" s="8"/>
      <c r="G22" s="8"/>
      <c r="H22" s="8"/>
      <c r="I22" s="8"/>
      <c r="J22" s="9"/>
    </row>
    <row r="24" spans="2:10" x14ac:dyDescent="0.3">
      <c r="B24" s="2"/>
      <c r="C24" s="3"/>
      <c r="D24" s="3"/>
      <c r="E24" s="3"/>
      <c r="F24" s="3"/>
      <c r="G24" s="3"/>
      <c r="H24" s="3"/>
      <c r="I24" s="4"/>
    </row>
    <row r="25" spans="2:10" ht="15.6" x14ac:dyDescent="0.3">
      <c r="B25" s="5"/>
      <c r="C25" s="17" t="s">
        <v>65</v>
      </c>
      <c r="D25" s="8"/>
      <c r="E25" s="8"/>
      <c r="F25" s="8"/>
      <c r="G25" s="8"/>
      <c r="H25" s="8"/>
      <c r="I25" s="6"/>
    </row>
    <row r="26" spans="2:10" x14ac:dyDescent="0.3">
      <c r="B26" s="5"/>
      <c r="I26" s="6"/>
    </row>
    <row r="27" spans="2:10" ht="29.4" thickBot="1" x14ac:dyDescent="0.35">
      <c r="B27" s="5"/>
      <c r="C27" s="83" t="s">
        <v>64</v>
      </c>
      <c r="I27" s="6"/>
    </row>
    <row r="28" spans="2:10" ht="15.6" thickTop="1" thickBot="1" x14ac:dyDescent="0.35">
      <c r="B28" s="5"/>
      <c r="C28" s="89" t="s">
        <v>61</v>
      </c>
      <c r="I28" s="6"/>
    </row>
    <row r="29" spans="2:10" ht="15.6" thickTop="1" thickBot="1" x14ac:dyDescent="0.35">
      <c r="B29" s="5"/>
      <c r="C29" s="89" t="s">
        <v>62</v>
      </c>
      <c r="I29" s="6"/>
    </row>
    <row r="30" spans="2:10" ht="15" thickTop="1" x14ac:dyDescent="0.3">
      <c r="B30" s="5"/>
      <c r="I30" s="6"/>
    </row>
    <row r="31" spans="2:10" x14ac:dyDescent="0.3">
      <c r="B31" s="7"/>
      <c r="C31" s="8"/>
      <c r="D31" s="8"/>
      <c r="E31" s="8"/>
      <c r="F31" s="8"/>
      <c r="G31" s="8"/>
      <c r="H31" s="8"/>
      <c r="I31" s="9"/>
    </row>
    <row r="33" spans="2:9" x14ac:dyDescent="0.3">
      <c r="B33" s="2"/>
      <c r="C33" s="3"/>
      <c r="D33" s="3"/>
      <c r="E33" s="3"/>
      <c r="F33" s="3"/>
      <c r="G33" s="3"/>
      <c r="H33" s="3"/>
      <c r="I33" s="4"/>
    </row>
    <row r="34" spans="2:9" ht="15.6" x14ac:dyDescent="0.3">
      <c r="B34" s="5"/>
      <c r="C34" s="17" t="s">
        <v>60</v>
      </c>
      <c r="D34" s="8"/>
      <c r="E34" s="8"/>
      <c r="F34" s="8"/>
      <c r="G34" s="8"/>
      <c r="H34" s="8"/>
      <c r="I34" s="6"/>
    </row>
    <row r="35" spans="2:9" x14ac:dyDescent="0.3">
      <c r="B35" s="5"/>
      <c r="I35" s="6"/>
    </row>
    <row r="36" spans="2:9" ht="50.25" customHeight="1" thickBot="1" x14ac:dyDescent="0.35">
      <c r="B36" s="5"/>
      <c r="C36" s="91" t="s">
        <v>17</v>
      </c>
      <c r="E36" s="52" t="s">
        <v>1</v>
      </c>
      <c r="I36" s="6"/>
    </row>
    <row r="37" spans="2:9" ht="33.75" customHeight="1" thickTop="1" thickBot="1" x14ac:dyDescent="0.35">
      <c r="B37" s="5"/>
      <c r="C37" s="88" t="s">
        <v>103</v>
      </c>
      <c r="E37" s="89" t="s">
        <v>2</v>
      </c>
      <c r="I37" s="6"/>
    </row>
    <row r="38" spans="2:9" ht="15.6" thickTop="1" thickBot="1" x14ac:dyDescent="0.35">
      <c r="B38" s="5"/>
      <c r="C38" s="88" t="s">
        <v>104</v>
      </c>
      <c r="E38" s="89" t="s">
        <v>3</v>
      </c>
      <c r="F38" s="92" t="str">
        <f>IF($E$40=1,$E$38,$E$37)</f>
        <v>Masculino</v>
      </c>
      <c r="I38" s="6"/>
    </row>
    <row r="39" spans="2:9" ht="28.5" customHeight="1" thickTop="1" thickBot="1" x14ac:dyDescent="0.35">
      <c r="B39" s="5"/>
      <c r="C39" s="93">
        <v>1</v>
      </c>
      <c r="E39" s="89" t="s">
        <v>41</v>
      </c>
      <c r="F39" s="92">
        <v>1</v>
      </c>
      <c r="I39" s="6"/>
    </row>
    <row r="40" spans="2:9" ht="15.6" thickTop="1" thickBot="1" x14ac:dyDescent="0.35">
      <c r="B40" s="5"/>
      <c r="E40" s="93">
        <v>3</v>
      </c>
      <c r="F40" s="90" t="str">
        <f>F38</f>
        <v>Masculino</v>
      </c>
      <c r="I40" s="6"/>
    </row>
    <row r="41" spans="2:9" ht="15" thickTop="1" x14ac:dyDescent="0.3">
      <c r="B41" s="5"/>
      <c r="E41" t="str">
        <f>IF(E40=1,E37,IF(E40=2,E38,"Total"))</f>
        <v>Total</v>
      </c>
      <c r="I41" s="6"/>
    </row>
    <row r="42" spans="2:9" x14ac:dyDescent="0.3">
      <c r="B42" s="7"/>
      <c r="C42" s="8"/>
      <c r="D42" s="8"/>
      <c r="E42" s="8"/>
      <c r="F42" s="8"/>
      <c r="G42" s="8"/>
      <c r="H42" s="8"/>
      <c r="I42" s="9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5431E-CA3C-45F6-9D0E-3EF9AB667B88}">
  <dimension ref="A1:W551"/>
  <sheetViews>
    <sheetView zoomScale="80" zoomScaleNormal="80" workbookViewId="0"/>
  </sheetViews>
  <sheetFormatPr defaultColWidth="8.88671875" defaultRowHeight="14.4" x14ac:dyDescent="0.3"/>
  <cols>
    <col min="1" max="2" width="7.33203125" style="187" customWidth="1"/>
    <col min="3" max="3" width="10.6640625" style="187" bestFit="1" customWidth="1"/>
    <col min="4" max="4" width="19.5546875" style="187" bestFit="1" customWidth="1"/>
    <col min="5" max="5" width="13" style="187" customWidth="1"/>
    <col min="6" max="6" width="18.44140625" style="187" bestFit="1" customWidth="1"/>
    <col min="7" max="7" width="11" style="187" bestFit="1" customWidth="1"/>
    <col min="8" max="8" width="6.5546875" style="187" customWidth="1"/>
    <col min="9" max="9" width="9.5546875" style="187" bestFit="1" customWidth="1"/>
    <col min="10" max="10" width="18.88671875" style="187" bestFit="1" customWidth="1"/>
    <col min="11" max="11" width="20.33203125" style="187" bestFit="1" customWidth="1"/>
    <col min="12" max="12" width="23.109375" style="187" bestFit="1" customWidth="1"/>
    <col min="13" max="14" width="16.6640625" style="187" customWidth="1"/>
    <col min="15" max="15" width="20.109375" style="187" bestFit="1" customWidth="1"/>
    <col min="16" max="16" width="36.5546875" style="187" bestFit="1" customWidth="1"/>
    <col min="17" max="17" width="12.33203125" style="187" customWidth="1"/>
    <col min="18" max="19" width="15" style="187" bestFit="1" customWidth="1"/>
    <col min="20" max="21" width="8.88671875" style="187"/>
    <col min="22" max="22" width="21.44140625" style="187" customWidth="1"/>
    <col min="23" max="23" width="21.33203125" style="187" bestFit="1" customWidth="1"/>
    <col min="24" max="16384" width="8.88671875" style="187"/>
  </cols>
  <sheetData>
    <row r="1" spans="1:23" ht="15" thickBot="1" x14ac:dyDescent="0.35">
      <c r="A1" s="182" t="s">
        <v>142</v>
      </c>
      <c r="B1" s="182" t="s">
        <v>143</v>
      </c>
      <c r="C1" s="182" t="s">
        <v>144</v>
      </c>
      <c r="D1" s="175" t="s">
        <v>145</v>
      </c>
      <c r="E1" s="182" t="s">
        <v>146</v>
      </c>
      <c r="F1" s="182" t="s">
        <v>147</v>
      </c>
      <c r="G1" s="182" t="s">
        <v>148</v>
      </c>
      <c r="H1" s="183" t="s">
        <v>130</v>
      </c>
      <c r="I1" s="184" t="s">
        <v>5</v>
      </c>
      <c r="J1" s="184" t="s">
        <v>149</v>
      </c>
      <c r="K1" s="184" t="s">
        <v>150</v>
      </c>
      <c r="L1" s="184" t="s">
        <v>120</v>
      </c>
      <c r="M1" s="184" t="s">
        <v>31</v>
      </c>
      <c r="N1" s="184" t="s">
        <v>32</v>
      </c>
      <c r="O1" s="184" t="s">
        <v>151</v>
      </c>
      <c r="P1" s="184" t="s">
        <v>152</v>
      </c>
      <c r="Q1" s="184" t="s">
        <v>153</v>
      </c>
      <c r="R1" s="185" t="s">
        <v>154</v>
      </c>
      <c r="S1" s="186" t="s">
        <v>155</v>
      </c>
      <c r="V1" s="188" t="s">
        <v>156</v>
      </c>
    </row>
    <row r="2" spans="1:23" x14ac:dyDescent="0.3">
      <c r="A2" s="189" t="str">
        <f>IF(AND(H2&lt;=Criterios!$C$31+controle_formulario!$I$16-1),"SIM","NÃO")</f>
        <v>SIM</v>
      </c>
      <c r="B2" s="189">
        <f>$W$2</f>
        <v>0</v>
      </c>
      <c r="C2" s="189" t="str">
        <f>$W$3</f>
        <v>Formrol</v>
      </c>
      <c r="D2" s="177" t="s">
        <v>182</v>
      </c>
      <c r="E2" s="189" t="str">
        <f>$W$5</f>
        <v>Planilha 1</v>
      </c>
      <c r="F2" s="189" t="str">
        <f>$W$6</f>
        <v>Geral</v>
      </c>
      <c r="G2" s="189" t="s">
        <v>18</v>
      </c>
      <c r="H2" s="190">
        <f>Criterios!$C$31</f>
        <v>2026</v>
      </c>
      <c r="I2" s="191">
        <f ca="1">Resumo!D8</f>
        <v>35.902021176061034</v>
      </c>
      <c r="J2" s="191" t="str">
        <f>IF(controle_formulario!$C$39=1,controle_formulario!$C$37,controle_formulario!$C$38)</f>
        <v>Epidemiologico Beneficiarios Saude Suplementar</v>
      </c>
      <c r="K2" s="192" t="s">
        <v>157</v>
      </c>
      <c r="L2" s="192" t="str">
        <f t="shared" ref="L2:L11" si="0">trat.novo</f>
        <v>Pirtobrutinibe</v>
      </c>
      <c r="M2" s="193">
        <f>Resumo!$D$38</f>
        <v>470468.67999999976</v>
      </c>
      <c r="N2" s="193">
        <f>Resumo!$D$47</f>
        <v>0</v>
      </c>
      <c r="O2" s="192" t="s">
        <v>158</v>
      </c>
      <c r="P2" s="192" t="str">
        <f t="shared" ref="P2:P33" si="1">cen.ref</f>
        <v>Sem pirtobrutinibe</v>
      </c>
      <c r="Q2" s="194">
        <f>'Market Share'!D8</f>
        <v>0</v>
      </c>
      <c r="R2" s="195">
        <f ca="1">Resumo!D56</f>
        <v>4110544.4385289042</v>
      </c>
      <c r="S2" s="196">
        <v>0</v>
      </c>
      <c r="V2" s="176" t="s">
        <v>159</v>
      </c>
      <c r="W2" s="178">
        <v>0</v>
      </c>
    </row>
    <row r="3" spans="1:23" x14ac:dyDescent="0.3">
      <c r="A3" s="198" t="str">
        <f>IF(AND(H3&lt;=Criterios!$C$31+controle_formulario!$I$16-1),"SIM","NÃO")</f>
        <v>SIM</v>
      </c>
      <c r="B3" s="198">
        <f t="shared" ref="B3:B66" si="2">$W$2</f>
        <v>0</v>
      </c>
      <c r="C3" s="198" t="str">
        <f t="shared" ref="C3:C66" si="3">$W$3</f>
        <v>Formrol</v>
      </c>
      <c r="D3" s="179" t="s">
        <v>182</v>
      </c>
      <c r="E3" s="198" t="str">
        <f t="shared" ref="E3:E66" si="4">$W$5</f>
        <v>Planilha 1</v>
      </c>
      <c r="F3" s="198" t="str">
        <f t="shared" ref="F3:F66" si="5">$W$6</f>
        <v>Geral</v>
      </c>
      <c r="G3" s="198" t="s">
        <v>19</v>
      </c>
      <c r="H3" s="199">
        <f>H2+1</f>
        <v>2027</v>
      </c>
      <c r="I3" s="200">
        <f ca="1">Resumo!D9</f>
        <v>36.027114594978322</v>
      </c>
      <c r="J3" s="200" t="str">
        <f>IF(controle_formulario!$C$39=1,controle_formulario!$C$37,controle_formulario!$C$38)</f>
        <v>Epidemiologico Beneficiarios Saude Suplementar</v>
      </c>
      <c r="K3" s="197" t="s">
        <v>157</v>
      </c>
      <c r="L3" s="197" t="str">
        <f t="shared" si="0"/>
        <v>Pirtobrutinibe</v>
      </c>
      <c r="M3" s="201">
        <f>M2</f>
        <v>470468.67999999976</v>
      </c>
      <c r="N3" s="201">
        <f>N2</f>
        <v>0</v>
      </c>
      <c r="O3" s="197" t="s">
        <v>158</v>
      </c>
      <c r="P3" s="197" t="str">
        <f t="shared" si="1"/>
        <v>Sem pirtobrutinibe</v>
      </c>
      <c r="Q3" s="202">
        <f>'Market Share'!D9</f>
        <v>0</v>
      </c>
      <c r="R3" s="203">
        <f ca="1">Resumo!D57</f>
        <v>4124866.8092641174</v>
      </c>
      <c r="S3" s="204">
        <v>0</v>
      </c>
      <c r="V3" s="176" t="s">
        <v>160</v>
      </c>
      <c r="W3" s="178" t="s">
        <v>161</v>
      </c>
    </row>
    <row r="4" spans="1:23" x14ac:dyDescent="0.3">
      <c r="A4" s="198" t="str">
        <f>IF(AND(H4&lt;=Criterios!$C$31+controle_formulario!$I$16-1),"SIM","NÃO")</f>
        <v>SIM</v>
      </c>
      <c r="B4" s="198">
        <f t="shared" si="2"/>
        <v>0</v>
      </c>
      <c r="C4" s="198" t="str">
        <f t="shared" si="3"/>
        <v>Formrol</v>
      </c>
      <c r="D4" s="179" t="s">
        <v>182</v>
      </c>
      <c r="E4" s="198" t="str">
        <f t="shared" si="4"/>
        <v>Planilha 1</v>
      </c>
      <c r="F4" s="198" t="str">
        <f t="shared" si="5"/>
        <v>Geral</v>
      </c>
      <c r="G4" s="198" t="s">
        <v>20</v>
      </c>
      <c r="H4" s="199">
        <f t="shared" ref="H4:H11" si="6">H3+1</f>
        <v>2028</v>
      </c>
      <c r="I4" s="200">
        <f ca="1">Resumo!D10</f>
        <v>36.142742272880319</v>
      </c>
      <c r="J4" s="200" t="str">
        <f>IF(controle_formulario!$C$39=1,controle_formulario!$C$37,controle_formulario!$C$38)</f>
        <v>Epidemiologico Beneficiarios Saude Suplementar</v>
      </c>
      <c r="K4" s="197" t="s">
        <v>157</v>
      </c>
      <c r="L4" s="197" t="str">
        <f t="shared" si="0"/>
        <v>Pirtobrutinibe</v>
      </c>
      <c r="M4" s="201">
        <f t="shared" ref="M4:N11" si="7">M3</f>
        <v>470468.67999999976</v>
      </c>
      <c r="N4" s="201">
        <f t="shared" si="7"/>
        <v>0</v>
      </c>
      <c r="O4" s="197" t="s">
        <v>158</v>
      </c>
      <c r="P4" s="197" t="str">
        <f t="shared" si="1"/>
        <v>Sem pirtobrutinibe</v>
      </c>
      <c r="Q4" s="202">
        <f>'Market Share'!D10</f>
        <v>0</v>
      </c>
      <c r="R4" s="203">
        <f ca="1">Resumo!D58</f>
        <v>4138105.4151356164</v>
      </c>
      <c r="S4" s="204">
        <v>0</v>
      </c>
      <c r="V4" s="176" t="s">
        <v>162</v>
      </c>
      <c r="W4" s="176" t="s">
        <v>163</v>
      </c>
    </row>
    <row r="5" spans="1:23" x14ac:dyDescent="0.3">
      <c r="A5" s="198" t="str">
        <f>IF(AND(H5&lt;=Criterios!$C$31+controle_formulario!$I$16-1),"SIM","NÃO")</f>
        <v>SIM</v>
      </c>
      <c r="B5" s="198">
        <f t="shared" si="2"/>
        <v>0</v>
      </c>
      <c r="C5" s="198" t="str">
        <f t="shared" si="3"/>
        <v>Formrol</v>
      </c>
      <c r="D5" s="179" t="s">
        <v>182</v>
      </c>
      <c r="E5" s="198" t="str">
        <f t="shared" si="4"/>
        <v>Planilha 1</v>
      </c>
      <c r="F5" s="198" t="str">
        <f t="shared" si="5"/>
        <v>Geral</v>
      </c>
      <c r="G5" s="198" t="s">
        <v>21</v>
      </c>
      <c r="H5" s="199">
        <f t="shared" si="6"/>
        <v>2029</v>
      </c>
      <c r="I5" s="200">
        <f ca="1">Resumo!D11</f>
        <v>36.250027878529522</v>
      </c>
      <c r="J5" s="200" t="str">
        <f>IF(controle_formulario!$C$39=1,controle_formulario!$C$37,controle_formulario!$C$38)</f>
        <v>Epidemiologico Beneficiarios Saude Suplementar</v>
      </c>
      <c r="K5" s="197" t="s">
        <v>157</v>
      </c>
      <c r="L5" s="197" t="str">
        <f t="shared" si="0"/>
        <v>Pirtobrutinibe</v>
      </c>
      <c r="M5" s="201">
        <f t="shared" si="7"/>
        <v>470468.67999999976</v>
      </c>
      <c r="N5" s="201">
        <f t="shared" si="7"/>
        <v>0</v>
      </c>
      <c r="O5" s="197" t="s">
        <v>158</v>
      </c>
      <c r="P5" s="197" t="str">
        <f t="shared" si="1"/>
        <v>Sem pirtobrutinibe</v>
      </c>
      <c r="Q5" s="202">
        <f>'Market Share'!D11</f>
        <v>0</v>
      </c>
      <c r="R5" s="203">
        <f ca="1">Resumo!D59</f>
        <v>4150388.9087994657</v>
      </c>
      <c r="S5" s="204">
        <v>0</v>
      </c>
      <c r="V5" s="176" t="s">
        <v>164</v>
      </c>
      <c r="W5" s="178" t="s">
        <v>165</v>
      </c>
    </row>
    <row r="6" spans="1:23" x14ac:dyDescent="0.3">
      <c r="A6" s="198" t="str">
        <f>IF(AND(H6&lt;=Criterios!$C$31+controle_formulario!$I$16-1),"SIM","NÃO")</f>
        <v>SIM</v>
      </c>
      <c r="B6" s="198">
        <f t="shared" si="2"/>
        <v>0</v>
      </c>
      <c r="C6" s="198" t="str">
        <f t="shared" si="3"/>
        <v>Formrol</v>
      </c>
      <c r="D6" s="179" t="s">
        <v>182</v>
      </c>
      <c r="E6" s="198" t="str">
        <f t="shared" si="4"/>
        <v>Planilha 1</v>
      </c>
      <c r="F6" s="198" t="str">
        <f t="shared" si="5"/>
        <v>Geral</v>
      </c>
      <c r="G6" s="198" t="s">
        <v>22</v>
      </c>
      <c r="H6" s="199">
        <f t="shared" si="6"/>
        <v>2030</v>
      </c>
      <c r="I6" s="200">
        <f ca="1">Resumo!D12</f>
        <v>36.350592396534239</v>
      </c>
      <c r="J6" s="200" t="str">
        <f>IF(controle_formulario!$C$39=1,controle_formulario!$C$37,controle_formulario!$C$38)</f>
        <v>Epidemiologico Beneficiarios Saude Suplementar</v>
      </c>
      <c r="K6" s="197" t="s">
        <v>157</v>
      </c>
      <c r="L6" s="197" t="str">
        <f t="shared" si="0"/>
        <v>Pirtobrutinibe</v>
      </c>
      <c r="M6" s="201">
        <f t="shared" si="7"/>
        <v>470468.67999999976</v>
      </c>
      <c r="N6" s="201">
        <f t="shared" si="7"/>
        <v>0</v>
      </c>
      <c r="O6" s="197" t="s">
        <v>158</v>
      </c>
      <c r="P6" s="197" t="str">
        <f t="shared" si="1"/>
        <v>Sem pirtobrutinibe</v>
      </c>
      <c r="Q6" s="202">
        <f>'Market Share'!D12</f>
        <v>0</v>
      </c>
      <c r="R6" s="203">
        <f ca="1">Resumo!D60</f>
        <v>4161902.8822933384</v>
      </c>
      <c r="S6" s="204">
        <v>0</v>
      </c>
      <c r="V6" s="176" t="s">
        <v>166</v>
      </c>
      <c r="W6" s="178" t="s">
        <v>167</v>
      </c>
    </row>
    <row r="7" spans="1:23" x14ac:dyDescent="0.3">
      <c r="A7" s="198" t="str">
        <f>IF(AND(H7&lt;=Criterios!$C$31+controle_formulario!$I$16-1),"SIM","NÃO")</f>
        <v>NÃO</v>
      </c>
      <c r="B7" s="198">
        <f t="shared" si="2"/>
        <v>0</v>
      </c>
      <c r="C7" s="198" t="str">
        <f t="shared" si="3"/>
        <v>Formrol</v>
      </c>
      <c r="D7" s="179" t="s">
        <v>182</v>
      </c>
      <c r="E7" s="198" t="str">
        <f t="shared" si="4"/>
        <v>Planilha 1</v>
      </c>
      <c r="F7" s="198" t="str">
        <f t="shared" si="5"/>
        <v>Geral</v>
      </c>
      <c r="G7" s="198" t="s">
        <v>23</v>
      </c>
      <c r="H7" s="199">
        <f t="shared" si="6"/>
        <v>2031</v>
      </c>
      <c r="I7" s="200">
        <f>Resumo!D13</f>
        <v>0</v>
      </c>
      <c r="J7" s="200" t="str">
        <f>IF(controle_formulario!$C$39=1,controle_formulario!$C$37,controle_formulario!$C$38)</f>
        <v>Epidemiologico Beneficiarios Saude Suplementar</v>
      </c>
      <c r="K7" s="197" t="s">
        <v>157</v>
      </c>
      <c r="L7" s="197" t="str">
        <f t="shared" si="0"/>
        <v>Pirtobrutinibe</v>
      </c>
      <c r="M7" s="201">
        <f t="shared" si="7"/>
        <v>470468.67999999976</v>
      </c>
      <c r="N7" s="201">
        <f t="shared" si="7"/>
        <v>0</v>
      </c>
      <c r="O7" s="197" t="s">
        <v>158</v>
      </c>
      <c r="P7" s="197" t="str">
        <f t="shared" si="1"/>
        <v>Sem pirtobrutinibe</v>
      </c>
      <c r="Q7" s="202">
        <f>'Market Share'!D13</f>
        <v>0</v>
      </c>
      <c r="R7" s="203">
        <f ca="1">Resumo!D61</f>
        <v>0</v>
      </c>
      <c r="S7" s="204">
        <v>0</v>
      </c>
    </row>
    <row r="8" spans="1:23" x14ac:dyDescent="0.3">
      <c r="A8" s="198" t="str">
        <f>IF(AND(H8&lt;=Criterios!$C$31+controle_formulario!$I$16-1),"SIM","NÃO")</f>
        <v>NÃO</v>
      </c>
      <c r="B8" s="198">
        <f t="shared" si="2"/>
        <v>0</v>
      </c>
      <c r="C8" s="198" t="str">
        <f t="shared" si="3"/>
        <v>Formrol</v>
      </c>
      <c r="D8" s="179" t="s">
        <v>182</v>
      </c>
      <c r="E8" s="198" t="str">
        <f t="shared" si="4"/>
        <v>Planilha 1</v>
      </c>
      <c r="F8" s="198" t="str">
        <f t="shared" si="5"/>
        <v>Geral</v>
      </c>
      <c r="G8" s="198" t="s">
        <v>24</v>
      </c>
      <c r="H8" s="199">
        <f t="shared" si="6"/>
        <v>2032</v>
      </c>
      <c r="I8" s="200">
        <f>Resumo!D14</f>
        <v>0</v>
      </c>
      <c r="J8" s="200" t="str">
        <f>IF(controle_formulario!$C$39=1,controle_formulario!$C$37,controle_formulario!$C$38)</f>
        <v>Epidemiologico Beneficiarios Saude Suplementar</v>
      </c>
      <c r="K8" s="197" t="s">
        <v>157</v>
      </c>
      <c r="L8" s="197" t="str">
        <f t="shared" si="0"/>
        <v>Pirtobrutinibe</v>
      </c>
      <c r="M8" s="201">
        <f t="shared" si="7"/>
        <v>470468.67999999976</v>
      </c>
      <c r="N8" s="201">
        <f t="shared" si="7"/>
        <v>0</v>
      </c>
      <c r="O8" s="197" t="s">
        <v>158</v>
      </c>
      <c r="P8" s="197" t="str">
        <f t="shared" si="1"/>
        <v>Sem pirtobrutinibe</v>
      </c>
      <c r="Q8" s="202">
        <f>'Market Share'!D14</f>
        <v>0</v>
      </c>
      <c r="R8" s="203">
        <f ca="1">Resumo!D62</f>
        <v>0</v>
      </c>
      <c r="S8" s="204">
        <v>0</v>
      </c>
    </row>
    <row r="9" spans="1:23" x14ac:dyDescent="0.3">
      <c r="A9" s="198" t="str">
        <f>IF(AND(H9&lt;=Criterios!$C$31+controle_formulario!$I$16-1),"SIM","NÃO")</f>
        <v>NÃO</v>
      </c>
      <c r="B9" s="198">
        <f t="shared" si="2"/>
        <v>0</v>
      </c>
      <c r="C9" s="198" t="str">
        <f t="shared" si="3"/>
        <v>Formrol</v>
      </c>
      <c r="D9" s="179" t="s">
        <v>182</v>
      </c>
      <c r="E9" s="198" t="str">
        <f t="shared" si="4"/>
        <v>Planilha 1</v>
      </c>
      <c r="F9" s="198" t="str">
        <f t="shared" si="5"/>
        <v>Geral</v>
      </c>
      <c r="G9" s="198" t="s">
        <v>25</v>
      </c>
      <c r="H9" s="199">
        <f t="shared" si="6"/>
        <v>2033</v>
      </c>
      <c r="I9" s="200">
        <f>Resumo!D15</f>
        <v>0</v>
      </c>
      <c r="J9" s="200" t="str">
        <f>IF(controle_formulario!$C$39=1,controle_formulario!$C$37,controle_formulario!$C$38)</f>
        <v>Epidemiologico Beneficiarios Saude Suplementar</v>
      </c>
      <c r="K9" s="197" t="s">
        <v>157</v>
      </c>
      <c r="L9" s="197" t="str">
        <f t="shared" si="0"/>
        <v>Pirtobrutinibe</v>
      </c>
      <c r="M9" s="201">
        <f t="shared" si="7"/>
        <v>470468.67999999976</v>
      </c>
      <c r="N9" s="201">
        <f t="shared" si="7"/>
        <v>0</v>
      </c>
      <c r="O9" s="197" t="s">
        <v>158</v>
      </c>
      <c r="P9" s="197" t="str">
        <f t="shared" si="1"/>
        <v>Sem pirtobrutinibe</v>
      </c>
      <c r="Q9" s="202">
        <f>'Market Share'!D15</f>
        <v>0</v>
      </c>
      <c r="R9" s="203">
        <f ca="1">Resumo!D63</f>
        <v>0</v>
      </c>
      <c r="S9" s="204">
        <v>0</v>
      </c>
    </row>
    <row r="10" spans="1:23" x14ac:dyDescent="0.3">
      <c r="A10" s="198" t="str">
        <f>IF(AND(H10&lt;=Criterios!$C$31+controle_formulario!$I$16-1),"SIM","NÃO")</f>
        <v>NÃO</v>
      </c>
      <c r="B10" s="198">
        <f t="shared" si="2"/>
        <v>0</v>
      </c>
      <c r="C10" s="198" t="str">
        <f t="shared" si="3"/>
        <v>Formrol</v>
      </c>
      <c r="D10" s="179" t="s">
        <v>182</v>
      </c>
      <c r="E10" s="198" t="str">
        <f t="shared" si="4"/>
        <v>Planilha 1</v>
      </c>
      <c r="F10" s="198" t="str">
        <f t="shared" si="5"/>
        <v>Geral</v>
      </c>
      <c r="G10" s="198" t="s">
        <v>26</v>
      </c>
      <c r="H10" s="199">
        <f t="shared" si="6"/>
        <v>2034</v>
      </c>
      <c r="I10" s="200">
        <f>Resumo!D16</f>
        <v>0</v>
      </c>
      <c r="J10" s="200" t="str">
        <f>IF(controle_formulario!$C$39=1,controle_formulario!$C$37,controle_formulario!$C$38)</f>
        <v>Epidemiologico Beneficiarios Saude Suplementar</v>
      </c>
      <c r="K10" s="197" t="s">
        <v>157</v>
      </c>
      <c r="L10" s="197" t="str">
        <f t="shared" si="0"/>
        <v>Pirtobrutinibe</v>
      </c>
      <c r="M10" s="201">
        <f t="shared" si="7"/>
        <v>470468.67999999976</v>
      </c>
      <c r="N10" s="201">
        <f t="shared" si="7"/>
        <v>0</v>
      </c>
      <c r="O10" s="197" t="s">
        <v>158</v>
      </c>
      <c r="P10" s="197" t="str">
        <f t="shared" si="1"/>
        <v>Sem pirtobrutinibe</v>
      </c>
      <c r="Q10" s="202">
        <f>'Market Share'!D16</f>
        <v>0</v>
      </c>
      <c r="R10" s="203">
        <f ca="1">Resumo!D64</f>
        <v>0</v>
      </c>
      <c r="S10" s="204">
        <v>0</v>
      </c>
    </row>
    <row r="11" spans="1:23" ht="15" thickBot="1" x14ac:dyDescent="0.35">
      <c r="A11" s="205" t="str">
        <f>IF(AND(H11&lt;=Criterios!$C$31+controle_formulario!$I$16-1),"SIM","NÃO")</f>
        <v>NÃO</v>
      </c>
      <c r="B11" s="205">
        <f t="shared" si="2"/>
        <v>0</v>
      </c>
      <c r="C11" s="205" t="str">
        <f t="shared" si="3"/>
        <v>Formrol</v>
      </c>
      <c r="D11" s="180" t="s">
        <v>182</v>
      </c>
      <c r="E11" s="205" t="str">
        <f t="shared" si="4"/>
        <v>Planilha 1</v>
      </c>
      <c r="F11" s="205" t="str">
        <f t="shared" si="5"/>
        <v>Geral</v>
      </c>
      <c r="G11" s="205" t="s">
        <v>27</v>
      </c>
      <c r="H11" s="206">
        <f t="shared" si="6"/>
        <v>2035</v>
      </c>
      <c r="I11" s="207">
        <f>Resumo!D17</f>
        <v>0</v>
      </c>
      <c r="J11" s="207" t="str">
        <f>IF(controle_formulario!$C$39=1,controle_formulario!$C$37,controle_formulario!$C$38)</f>
        <v>Epidemiologico Beneficiarios Saude Suplementar</v>
      </c>
      <c r="K11" s="208" t="s">
        <v>157</v>
      </c>
      <c r="L11" s="208" t="str">
        <f t="shared" si="0"/>
        <v>Pirtobrutinibe</v>
      </c>
      <c r="M11" s="201">
        <f t="shared" si="7"/>
        <v>470468.67999999976</v>
      </c>
      <c r="N11" s="201">
        <f t="shared" si="7"/>
        <v>0</v>
      </c>
      <c r="O11" s="208" t="s">
        <v>158</v>
      </c>
      <c r="P11" s="208" t="str">
        <f t="shared" si="1"/>
        <v>Sem pirtobrutinibe</v>
      </c>
      <c r="Q11" s="209">
        <f>'Market Share'!D17</f>
        <v>0</v>
      </c>
      <c r="R11" s="210">
        <f ca="1">Resumo!D65</f>
        <v>0</v>
      </c>
      <c r="S11" s="211">
        <v>0</v>
      </c>
    </row>
    <row r="12" spans="1:23" x14ac:dyDescent="0.3">
      <c r="A12" s="189" t="str">
        <f>IF(AND(VALUE(RIGHT(K12,2))&lt;=controle_formulario!$C$10,H12&lt;=Criterios!$C$31+controle_formulario!$I$16-1),"SIM","NÃO")</f>
        <v>SIM</v>
      </c>
      <c r="B12" s="189">
        <f t="shared" si="2"/>
        <v>0</v>
      </c>
      <c r="C12" s="189" t="str">
        <f t="shared" si="3"/>
        <v>Formrol</v>
      </c>
      <c r="D12" s="177" t="s">
        <v>182</v>
      </c>
      <c r="E12" s="189" t="str">
        <f t="shared" si="4"/>
        <v>Planilha 1</v>
      </c>
      <c r="F12" s="189" t="str">
        <f t="shared" si="5"/>
        <v>Geral</v>
      </c>
      <c r="G12" s="189" t="s">
        <v>18</v>
      </c>
      <c r="H12" s="190">
        <f>H2</f>
        <v>2026</v>
      </c>
      <c r="I12" s="191">
        <f ca="1">I2</f>
        <v>35.902021176061034</v>
      </c>
      <c r="J12" s="191" t="str">
        <f>IF(controle_formulario!$C$39=1,controle_formulario!$C$37,controle_formulario!$C$38)</f>
        <v>Epidemiologico Beneficiarios Saude Suplementar</v>
      </c>
      <c r="K12" s="192" t="s">
        <v>168</v>
      </c>
      <c r="L12" s="192" t="str">
        <f t="shared" ref="L12:L21" si="8">trat.a</f>
        <v xml:space="preserve"> Conjunto de Tratamentos-Padrão</v>
      </c>
      <c r="M12" s="193" t="e">
        <f>Resumo!$D$39</f>
        <v>#REF!</v>
      </c>
      <c r="N12" s="193">
        <f>Resumo!$D$48</f>
        <v>0</v>
      </c>
      <c r="O12" s="192" t="s">
        <v>158</v>
      </c>
      <c r="P12" s="192" t="str">
        <f t="shared" si="1"/>
        <v>Sem pirtobrutinibe</v>
      </c>
      <c r="Q12" s="194">
        <f>'Market Share'!E8</f>
        <v>0.9</v>
      </c>
      <c r="R12" s="195">
        <f ca="1">R2</f>
        <v>4110544.4385289042</v>
      </c>
      <c r="S12" s="196">
        <f>S2</f>
        <v>0</v>
      </c>
    </row>
    <row r="13" spans="1:23" x14ac:dyDescent="0.3">
      <c r="A13" s="198" t="str">
        <f>IF(AND(VALUE(RIGHT(K13,2))&lt;=controle_formulario!$C$10,H13&lt;=Criterios!$C$31+controle_formulario!$I$16-1),"SIM","NÃO")</f>
        <v>SIM</v>
      </c>
      <c r="B13" s="198">
        <f t="shared" si="2"/>
        <v>0</v>
      </c>
      <c r="C13" s="198" t="str">
        <f t="shared" si="3"/>
        <v>Formrol</v>
      </c>
      <c r="D13" s="179" t="s">
        <v>182</v>
      </c>
      <c r="E13" s="198" t="str">
        <f t="shared" si="4"/>
        <v>Planilha 1</v>
      </c>
      <c r="F13" s="198" t="str">
        <f t="shared" si="5"/>
        <v>Geral</v>
      </c>
      <c r="G13" s="198" t="s">
        <v>19</v>
      </c>
      <c r="H13" s="199">
        <f t="shared" ref="H13:I21" si="9">H3</f>
        <v>2027</v>
      </c>
      <c r="I13" s="200">
        <f t="shared" ca="1" si="9"/>
        <v>36.027114594978322</v>
      </c>
      <c r="J13" s="200" t="str">
        <f>IF(controle_formulario!$C$39=1,controle_formulario!$C$37,controle_formulario!$C$38)</f>
        <v>Epidemiologico Beneficiarios Saude Suplementar</v>
      </c>
      <c r="K13" s="197" t="s">
        <v>168</v>
      </c>
      <c r="L13" s="197" t="str">
        <f t="shared" si="8"/>
        <v xml:space="preserve"> Conjunto de Tratamentos-Padrão</v>
      </c>
      <c r="M13" s="201" t="e">
        <f>M12</f>
        <v>#REF!</v>
      </c>
      <c r="N13" s="201">
        <f>N12</f>
        <v>0</v>
      </c>
      <c r="O13" s="197" t="s">
        <v>158</v>
      </c>
      <c r="P13" s="197" t="str">
        <f t="shared" si="1"/>
        <v>Sem pirtobrutinibe</v>
      </c>
      <c r="Q13" s="202">
        <f>'Market Share'!E9</f>
        <v>0.9</v>
      </c>
      <c r="R13" s="203">
        <f t="shared" ref="R13:S28" ca="1" si="10">R3</f>
        <v>4124866.8092641174</v>
      </c>
      <c r="S13" s="204">
        <f t="shared" si="10"/>
        <v>0</v>
      </c>
    </row>
    <row r="14" spans="1:23" x14ac:dyDescent="0.3">
      <c r="A14" s="198" t="str">
        <f>IF(AND(VALUE(RIGHT(K14,2))&lt;=controle_formulario!$C$10,H14&lt;=Criterios!$C$31+controle_formulario!$I$16-1),"SIM","NÃO")</f>
        <v>SIM</v>
      </c>
      <c r="B14" s="198">
        <f t="shared" si="2"/>
        <v>0</v>
      </c>
      <c r="C14" s="198" t="str">
        <f t="shared" si="3"/>
        <v>Formrol</v>
      </c>
      <c r="D14" s="179" t="s">
        <v>182</v>
      </c>
      <c r="E14" s="198" t="str">
        <f t="shared" si="4"/>
        <v>Planilha 1</v>
      </c>
      <c r="F14" s="198" t="str">
        <f t="shared" si="5"/>
        <v>Geral</v>
      </c>
      <c r="G14" s="198" t="s">
        <v>20</v>
      </c>
      <c r="H14" s="199">
        <f t="shared" si="9"/>
        <v>2028</v>
      </c>
      <c r="I14" s="200">
        <f t="shared" ca="1" si="9"/>
        <v>36.142742272880319</v>
      </c>
      <c r="J14" s="200" t="str">
        <f>IF(controle_formulario!$C$39=1,controle_formulario!$C$37,controle_formulario!$C$38)</f>
        <v>Epidemiologico Beneficiarios Saude Suplementar</v>
      </c>
      <c r="K14" s="197" t="s">
        <v>168</v>
      </c>
      <c r="L14" s="197" t="str">
        <f t="shared" si="8"/>
        <v xml:space="preserve"> Conjunto de Tratamentos-Padrão</v>
      </c>
      <c r="M14" s="201" t="e">
        <f t="shared" ref="M14:N21" si="11">M13</f>
        <v>#REF!</v>
      </c>
      <c r="N14" s="201">
        <f t="shared" si="11"/>
        <v>0</v>
      </c>
      <c r="O14" s="197" t="s">
        <v>158</v>
      </c>
      <c r="P14" s="197" t="str">
        <f t="shared" si="1"/>
        <v>Sem pirtobrutinibe</v>
      </c>
      <c r="Q14" s="202">
        <f>'Market Share'!E10</f>
        <v>0.9</v>
      </c>
      <c r="R14" s="203">
        <f t="shared" ca="1" si="10"/>
        <v>4138105.4151356164</v>
      </c>
      <c r="S14" s="204">
        <f t="shared" si="10"/>
        <v>0</v>
      </c>
    </row>
    <row r="15" spans="1:23" x14ac:dyDescent="0.3">
      <c r="A15" s="198" t="str">
        <f>IF(AND(VALUE(RIGHT(K15,2))&lt;=controle_formulario!$C$10,H15&lt;=Criterios!$C$31+controle_formulario!$I$16-1),"SIM","NÃO")</f>
        <v>SIM</v>
      </c>
      <c r="B15" s="198">
        <f t="shared" si="2"/>
        <v>0</v>
      </c>
      <c r="C15" s="198" t="str">
        <f t="shared" si="3"/>
        <v>Formrol</v>
      </c>
      <c r="D15" s="179" t="s">
        <v>182</v>
      </c>
      <c r="E15" s="198" t="str">
        <f t="shared" si="4"/>
        <v>Planilha 1</v>
      </c>
      <c r="F15" s="198" t="str">
        <f t="shared" si="5"/>
        <v>Geral</v>
      </c>
      <c r="G15" s="198" t="s">
        <v>21</v>
      </c>
      <c r="H15" s="199">
        <f t="shared" si="9"/>
        <v>2029</v>
      </c>
      <c r="I15" s="200">
        <f t="shared" ca="1" si="9"/>
        <v>36.250027878529522</v>
      </c>
      <c r="J15" s="200" t="str">
        <f>IF(controle_formulario!$C$39=1,controle_formulario!$C$37,controle_formulario!$C$38)</f>
        <v>Epidemiologico Beneficiarios Saude Suplementar</v>
      </c>
      <c r="K15" s="197" t="s">
        <v>168</v>
      </c>
      <c r="L15" s="197" t="str">
        <f t="shared" si="8"/>
        <v xml:space="preserve"> Conjunto de Tratamentos-Padrão</v>
      </c>
      <c r="M15" s="201" t="e">
        <f t="shared" si="11"/>
        <v>#REF!</v>
      </c>
      <c r="N15" s="201">
        <f t="shared" si="11"/>
        <v>0</v>
      </c>
      <c r="O15" s="197" t="s">
        <v>158</v>
      </c>
      <c r="P15" s="197" t="str">
        <f t="shared" si="1"/>
        <v>Sem pirtobrutinibe</v>
      </c>
      <c r="Q15" s="202">
        <f>'Market Share'!E11</f>
        <v>0.9</v>
      </c>
      <c r="R15" s="203">
        <f t="shared" ca="1" si="10"/>
        <v>4150388.9087994657</v>
      </c>
      <c r="S15" s="204">
        <f t="shared" si="10"/>
        <v>0</v>
      </c>
    </row>
    <row r="16" spans="1:23" x14ac:dyDescent="0.3">
      <c r="A16" s="198" t="str">
        <f>IF(AND(VALUE(RIGHT(K16,2))&lt;=controle_formulario!$C$10,H16&lt;=Criterios!$C$31+controle_formulario!$I$16-1),"SIM","NÃO")</f>
        <v>SIM</v>
      </c>
      <c r="B16" s="198">
        <f t="shared" si="2"/>
        <v>0</v>
      </c>
      <c r="C16" s="198" t="str">
        <f t="shared" si="3"/>
        <v>Formrol</v>
      </c>
      <c r="D16" s="179" t="s">
        <v>182</v>
      </c>
      <c r="E16" s="198" t="str">
        <f t="shared" si="4"/>
        <v>Planilha 1</v>
      </c>
      <c r="F16" s="198" t="str">
        <f t="shared" si="5"/>
        <v>Geral</v>
      </c>
      <c r="G16" s="198" t="s">
        <v>22</v>
      </c>
      <c r="H16" s="199">
        <f t="shared" si="9"/>
        <v>2030</v>
      </c>
      <c r="I16" s="200">
        <f t="shared" ca="1" si="9"/>
        <v>36.350592396534239</v>
      </c>
      <c r="J16" s="200" t="str">
        <f>IF(controle_formulario!$C$39=1,controle_formulario!$C$37,controle_formulario!$C$38)</f>
        <v>Epidemiologico Beneficiarios Saude Suplementar</v>
      </c>
      <c r="K16" s="197" t="s">
        <v>168</v>
      </c>
      <c r="L16" s="197" t="str">
        <f t="shared" si="8"/>
        <v xml:space="preserve"> Conjunto de Tratamentos-Padrão</v>
      </c>
      <c r="M16" s="201" t="e">
        <f t="shared" si="11"/>
        <v>#REF!</v>
      </c>
      <c r="N16" s="201">
        <f t="shared" si="11"/>
        <v>0</v>
      </c>
      <c r="O16" s="197" t="s">
        <v>158</v>
      </c>
      <c r="P16" s="197" t="str">
        <f t="shared" si="1"/>
        <v>Sem pirtobrutinibe</v>
      </c>
      <c r="Q16" s="202">
        <f>'Market Share'!E12</f>
        <v>0.9</v>
      </c>
      <c r="R16" s="203">
        <f t="shared" ca="1" si="10"/>
        <v>4161902.8822933384</v>
      </c>
      <c r="S16" s="204">
        <f t="shared" si="10"/>
        <v>0</v>
      </c>
    </row>
    <row r="17" spans="1:19" x14ac:dyDescent="0.3">
      <c r="A17" s="198" t="str">
        <f>IF(AND(VALUE(RIGHT(K17,2))&lt;=controle_formulario!$C$10,H17&lt;=Criterios!$C$31+controle_formulario!$I$16-1),"SIM","NÃO")</f>
        <v>NÃO</v>
      </c>
      <c r="B17" s="198">
        <f t="shared" si="2"/>
        <v>0</v>
      </c>
      <c r="C17" s="198" t="str">
        <f t="shared" si="3"/>
        <v>Formrol</v>
      </c>
      <c r="D17" s="179" t="s">
        <v>182</v>
      </c>
      <c r="E17" s="198" t="str">
        <f t="shared" si="4"/>
        <v>Planilha 1</v>
      </c>
      <c r="F17" s="198" t="str">
        <f t="shared" si="5"/>
        <v>Geral</v>
      </c>
      <c r="G17" s="198" t="s">
        <v>23</v>
      </c>
      <c r="H17" s="199">
        <f t="shared" si="9"/>
        <v>2031</v>
      </c>
      <c r="I17" s="200">
        <f t="shared" si="9"/>
        <v>0</v>
      </c>
      <c r="J17" s="200" t="str">
        <f>IF(controle_formulario!$C$39=1,controle_formulario!$C$37,controle_formulario!$C$38)</f>
        <v>Epidemiologico Beneficiarios Saude Suplementar</v>
      </c>
      <c r="K17" s="197" t="s">
        <v>168</v>
      </c>
      <c r="L17" s="197" t="str">
        <f t="shared" si="8"/>
        <v xml:space="preserve"> Conjunto de Tratamentos-Padrão</v>
      </c>
      <c r="M17" s="201" t="e">
        <f t="shared" si="11"/>
        <v>#REF!</v>
      </c>
      <c r="N17" s="201">
        <f t="shared" si="11"/>
        <v>0</v>
      </c>
      <c r="O17" s="197" t="s">
        <v>158</v>
      </c>
      <c r="P17" s="197" t="str">
        <f t="shared" si="1"/>
        <v>Sem pirtobrutinibe</v>
      </c>
      <c r="Q17" s="202">
        <f>'Market Share'!E13</f>
        <v>0</v>
      </c>
      <c r="R17" s="203">
        <f t="shared" ca="1" si="10"/>
        <v>0</v>
      </c>
      <c r="S17" s="204">
        <f t="shared" si="10"/>
        <v>0</v>
      </c>
    </row>
    <row r="18" spans="1:19" x14ac:dyDescent="0.3">
      <c r="A18" s="198" t="str">
        <f>IF(AND(VALUE(RIGHT(K18,2))&lt;=controle_formulario!$C$10,H18&lt;=Criterios!$C$31+controle_formulario!$I$16-1),"SIM","NÃO")</f>
        <v>NÃO</v>
      </c>
      <c r="B18" s="198">
        <f t="shared" si="2"/>
        <v>0</v>
      </c>
      <c r="C18" s="198" t="str">
        <f t="shared" si="3"/>
        <v>Formrol</v>
      </c>
      <c r="D18" s="179" t="s">
        <v>182</v>
      </c>
      <c r="E18" s="198" t="str">
        <f t="shared" si="4"/>
        <v>Planilha 1</v>
      </c>
      <c r="F18" s="198" t="str">
        <f t="shared" si="5"/>
        <v>Geral</v>
      </c>
      <c r="G18" s="198" t="s">
        <v>24</v>
      </c>
      <c r="H18" s="199">
        <f t="shared" si="9"/>
        <v>2032</v>
      </c>
      <c r="I18" s="200">
        <f t="shared" si="9"/>
        <v>0</v>
      </c>
      <c r="J18" s="200" t="str">
        <f>IF(controle_formulario!$C$39=1,controle_formulario!$C$37,controle_formulario!$C$38)</f>
        <v>Epidemiologico Beneficiarios Saude Suplementar</v>
      </c>
      <c r="K18" s="197" t="s">
        <v>168</v>
      </c>
      <c r="L18" s="197" t="str">
        <f t="shared" si="8"/>
        <v xml:space="preserve"> Conjunto de Tratamentos-Padrão</v>
      </c>
      <c r="M18" s="201" t="e">
        <f t="shared" si="11"/>
        <v>#REF!</v>
      </c>
      <c r="N18" s="201">
        <f t="shared" si="11"/>
        <v>0</v>
      </c>
      <c r="O18" s="197" t="s">
        <v>158</v>
      </c>
      <c r="P18" s="197" t="str">
        <f t="shared" si="1"/>
        <v>Sem pirtobrutinibe</v>
      </c>
      <c r="Q18" s="202">
        <f>'Market Share'!E14</f>
        <v>0</v>
      </c>
      <c r="R18" s="203">
        <f t="shared" ca="1" si="10"/>
        <v>0</v>
      </c>
      <c r="S18" s="204">
        <f t="shared" si="10"/>
        <v>0</v>
      </c>
    </row>
    <row r="19" spans="1:19" x14ac:dyDescent="0.3">
      <c r="A19" s="198" t="str">
        <f>IF(AND(VALUE(RIGHT(K19,2))&lt;=controle_formulario!$C$10,H19&lt;=Criterios!$C$31+controle_formulario!$I$16-1),"SIM","NÃO")</f>
        <v>NÃO</v>
      </c>
      <c r="B19" s="198">
        <f t="shared" si="2"/>
        <v>0</v>
      </c>
      <c r="C19" s="198" t="str">
        <f t="shared" si="3"/>
        <v>Formrol</v>
      </c>
      <c r="D19" s="179" t="s">
        <v>182</v>
      </c>
      <c r="E19" s="198" t="str">
        <f t="shared" si="4"/>
        <v>Planilha 1</v>
      </c>
      <c r="F19" s="198" t="str">
        <f t="shared" si="5"/>
        <v>Geral</v>
      </c>
      <c r="G19" s="198" t="s">
        <v>25</v>
      </c>
      <c r="H19" s="199">
        <f t="shared" si="9"/>
        <v>2033</v>
      </c>
      <c r="I19" s="200">
        <f t="shared" si="9"/>
        <v>0</v>
      </c>
      <c r="J19" s="200" t="str">
        <f>IF(controle_formulario!$C$39=1,controle_formulario!$C$37,controle_formulario!$C$38)</f>
        <v>Epidemiologico Beneficiarios Saude Suplementar</v>
      </c>
      <c r="K19" s="197" t="s">
        <v>168</v>
      </c>
      <c r="L19" s="197" t="str">
        <f t="shared" si="8"/>
        <v xml:space="preserve"> Conjunto de Tratamentos-Padrão</v>
      </c>
      <c r="M19" s="201" t="e">
        <f t="shared" si="11"/>
        <v>#REF!</v>
      </c>
      <c r="N19" s="201">
        <f t="shared" si="11"/>
        <v>0</v>
      </c>
      <c r="O19" s="197" t="s">
        <v>158</v>
      </c>
      <c r="P19" s="197" t="str">
        <f t="shared" si="1"/>
        <v>Sem pirtobrutinibe</v>
      </c>
      <c r="Q19" s="202">
        <f>'Market Share'!E15</f>
        <v>0</v>
      </c>
      <c r="R19" s="203">
        <f t="shared" ca="1" si="10"/>
        <v>0</v>
      </c>
      <c r="S19" s="204">
        <f t="shared" si="10"/>
        <v>0</v>
      </c>
    </row>
    <row r="20" spans="1:19" x14ac:dyDescent="0.3">
      <c r="A20" s="198" t="str">
        <f>IF(AND(VALUE(RIGHT(K20,2))&lt;=controle_formulario!$C$10,H20&lt;=Criterios!$C$31+controle_formulario!$I$16-1),"SIM","NÃO")</f>
        <v>NÃO</v>
      </c>
      <c r="B20" s="198">
        <f t="shared" si="2"/>
        <v>0</v>
      </c>
      <c r="C20" s="198" t="str">
        <f t="shared" si="3"/>
        <v>Formrol</v>
      </c>
      <c r="D20" s="179" t="s">
        <v>182</v>
      </c>
      <c r="E20" s="198" t="str">
        <f t="shared" si="4"/>
        <v>Planilha 1</v>
      </c>
      <c r="F20" s="198" t="str">
        <f t="shared" si="5"/>
        <v>Geral</v>
      </c>
      <c r="G20" s="198" t="s">
        <v>26</v>
      </c>
      <c r="H20" s="199">
        <f t="shared" si="9"/>
        <v>2034</v>
      </c>
      <c r="I20" s="200">
        <f t="shared" si="9"/>
        <v>0</v>
      </c>
      <c r="J20" s="200" t="str">
        <f>IF(controle_formulario!$C$39=1,controle_formulario!$C$37,controle_formulario!$C$38)</f>
        <v>Epidemiologico Beneficiarios Saude Suplementar</v>
      </c>
      <c r="K20" s="197" t="s">
        <v>168</v>
      </c>
      <c r="L20" s="197" t="str">
        <f t="shared" si="8"/>
        <v xml:space="preserve"> Conjunto de Tratamentos-Padrão</v>
      </c>
      <c r="M20" s="201" t="e">
        <f t="shared" si="11"/>
        <v>#REF!</v>
      </c>
      <c r="N20" s="201">
        <f t="shared" si="11"/>
        <v>0</v>
      </c>
      <c r="O20" s="197" t="s">
        <v>158</v>
      </c>
      <c r="P20" s="197" t="str">
        <f t="shared" si="1"/>
        <v>Sem pirtobrutinibe</v>
      </c>
      <c r="Q20" s="202">
        <f>'Market Share'!E16</f>
        <v>0</v>
      </c>
      <c r="R20" s="203">
        <f t="shared" ca="1" si="10"/>
        <v>0</v>
      </c>
      <c r="S20" s="204">
        <f t="shared" si="10"/>
        <v>0</v>
      </c>
    </row>
    <row r="21" spans="1:19" ht="15" thickBot="1" x14ac:dyDescent="0.35">
      <c r="A21" s="205" t="str">
        <f>IF(AND(VALUE(RIGHT(K21,2))&lt;=controle_formulario!$C$10,H21&lt;=Criterios!$C$31+controle_formulario!$I$16-1),"SIM","NÃO")</f>
        <v>NÃO</v>
      </c>
      <c r="B21" s="205">
        <f t="shared" si="2"/>
        <v>0</v>
      </c>
      <c r="C21" s="205" t="str">
        <f t="shared" si="3"/>
        <v>Formrol</v>
      </c>
      <c r="D21" s="180" t="s">
        <v>182</v>
      </c>
      <c r="E21" s="205" t="str">
        <f t="shared" si="4"/>
        <v>Planilha 1</v>
      </c>
      <c r="F21" s="205" t="str">
        <f t="shared" si="5"/>
        <v>Geral</v>
      </c>
      <c r="G21" s="205" t="s">
        <v>27</v>
      </c>
      <c r="H21" s="206">
        <f t="shared" si="9"/>
        <v>2035</v>
      </c>
      <c r="I21" s="207">
        <f t="shared" si="9"/>
        <v>0</v>
      </c>
      <c r="J21" s="207" t="str">
        <f>IF(controle_formulario!$C$39=1,controle_formulario!$C$37,controle_formulario!$C$38)</f>
        <v>Epidemiologico Beneficiarios Saude Suplementar</v>
      </c>
      <c r="K21" s="208" t="s">
        <v>168</v>
      </c>
      <c r="L21" s="208" t="str">
        <f t="shared" si="8"/>
        <v xml:space="preserve"> Conjunto de Tratamentos-Padrão</v>
      </c>
      <c r="M21" s="201" t="e">
        <f t="shared" si="11"/>
        <v>#REF!</v>
      </c>
      <c r="N21" s="201">
        <f t="shared" si="11"/>
        <v>0</v>
      </c>
      <c r="O21" s="208" t="s">
        <v>158</v>
      </c>
      <c r="P21" s="208" t="str">
        <f t="shared" si="1"/>
        <v>Sem pirtobrutinibe</v>
      </c>
      <c r="Q21" s="209">
        <f>'Market Share'!E17</f>
        <v>0</v>
      </c>
      <c r="R21" s="210">
        <f t="shared" ca="1" si="10"/>
        <v>0</v>
      </c>
      <c r="S21" s="211">
        <f t="shared" si="10"/>
        <v>0</v>
      </c>
    </row>
    <row r="22" spans="1:19" x14ac:dyDescent="0.3">
      <c r="A22" s="189" t="str">
        <f>IF(AND(VALUE(RIGHT(K22,2))&lt;=controle_formulario!$C$10,H22&lt;=Criterios!$C$31+controle_formulario!$I$16-1),"SIM","NÃO")</f>
        <v>NÃO</v>
      </c>
      <c r="B22" s="189">
        <f t="shared" si="2"/>
        <v>0</v>
      </c>
      <c r="C22" s="189" t="str">
        <f t="shared" si="3"/>
        <v>Formrol</v>
      </c>
      <c r="D22" s="177" t="s">
        <v>182</v>
      </c>
      <c r="E22" s="189" t="str">
        <f t="shared" si="4"/>
        <v>Planilha 1</v>
      </c>
      <c r="F22" s="189" t="str">
        <f t="shared" si="5"/>
        <v>Geral</v>
      </c>
      <c r="G22" s="189" t="s">
        <v>18</v>
      </c>
      <c r="H22" s="190">
        <f>H12</f>
        <v>2026</v>
      </c>
      <c r="I22" s="191">
        <f ca="1">I12</f>
        <v>35.902021176061034</v>
      </c>
      <c r="J22" s="191" t="str">
        <f>IF(controle_formulario!$C$39=1,controle_formulario!$C$37,controle_formulario!$C$38)</f>
        <v>Epidemiologico Beneficiarios Saude Suplementar</v>
      </c>
      <c r="K22" s="192" t="s">
        <v>169</v>
      </c>
      <c r="L22" s="192">
        <f t="shared" ref="L22:L31" si="12">trat.b</f>
        <v>0</v>
      </c>
      <c r="M22" s="193">
        <f>Resumo!$D$40</f>
        <v>0</v>
      </c>
      <c r="N22" s="193">
        <f>Resumo!$D$49</f>
        <v>0</v>
      </c>
      <c r="O22" s="192" t="s">
        <v>158</v>
      </c>
      <c r="P22" s="192" t="str">
        <f t="shared" si="1"/>
        <v>Sem pirtobrutinibe</v>
      </c>
      <c r="Q22" s="194">
        <f>'Market Share'!F8</f>
        <v>0</v>
      </c>
      <c r="R22" s="195">
        <f ca="1">R12</f>
        <v>4110544.4385289042</v>
      </c>
      <c r="S22" s="196">
        <f>S12</f>
        <v>0</v>
      </c>
    </row>
    <row r="23" spans="1:19" x14ac:dyDescent="0.3">
      <c r="A23" s="198" t="str">
        <f>IF(AND(VALUE(RIGHT(K23,2))&lt;=controle_formulario!$C$10,H23&lt;=Criterios!$C$31+controle_formulario!$I$16-1),"SIM","NÃO")</f>
        <v>NÃO</v>
      </c>
      <c r="B23" s="198">
        <f t="shared" si="2"/>
        <v>0</v>
      </c>
      <c r="C23" s="198" t="str">
        <f t="shared" si="3"/>
        <v>Formrol</v>
      </c>
      <c r="D23" s="179" t="s">
        <v>182</v>
      </c>
      <c r="E23" s="198" t="str">
        <f t="shared" si="4"/>
        <v>Planilha 1</v>
      </c>
      <c r="F23" s="198" t="str">
        <f t="shared" si="5"/>
        <v>Geral</v>
      </c>
      <c r="G23" s="198" t="s">
        <v>19</v>
      </c>
      <c r="H23" s="199">
        <f t="shared" ref="H23:I31" si="13">H13</f>
        <v>2027</v>
      </c>
      <c r="I23" s="200">
        <f t="shared" ca="1" si="13"/>
        <v>36.027114594978322</v>
      </c>
      <c r="J23" s="200" t="str">
        <f>IF(controle_formulario!$C$39=1,controle_formulario!$C$37,controle_formulario!$C$38)</f>
        <v>Epidemiologico Beneficiarios Saude Suplementar</v>
      </c>
      <c r="K23" s="197" t="s">
        <v>169</v>
      </c>
      <c r="L23" s="197">
        <f t="shared" si="12"/>
        <v>0</v>
      </c>
      <c r="M23" s="201">
        <f>M22</f>
        <v>0</v>
      </c>
      <c r="N23" s="201">
        <f>N22</f>
        <v>0</v>
      </c>
      <c r="O23" s="197" t="s">
        <v>158</v>
      </c>
      <c r="P23" s="197" t="str">
        <f t="shared" si="1"/>
        <v>Sem pirtobrutinibe</v>
      </c>
      <c r="Q23" s="202">
        <f>'Market Share'!F9</f>
        <v>0</v>
      </c>
      <c r="R23" s="203">
        <f t="shared" ca="1" si="10"/>
        <v>4124866.8092641174</v>
      </c>
      <c r="S23" s="204">
        <f t="shared" si="10"/>
        <v>0</v>
      </c>
    </row>
    <row r="24" spans="1:19" x14ac:dyDescent="0.3">
      <c r="A24" s="198" t="str">
        <f>IF(AND(VALUE(RIGHT(K24,2))&lt;=controle_formulario!$C$10,H24&lt;=Criterios!$C$31+controle_formulario!$I$16-1),"SIM","NÃO")</f>
        <v>NÃO</v>
      </c>
      <c r="B24" s="198">
        <f t="shared" si="2"/>
        <v>0</v>
      </c>
      <c r="C24" s="198" t="str">
        <f t="shared" si="3"/>
        <v>Formrol</v>
      </c>
      <c r="D24" s="179" t="s">
        <v>182</v>
      </c>
      <c r="E24" s="198" t="str">
        <f t="shared" si="4"/>
        <v>Planilha 1</v>
      </c>
      <c r="F24" s="198" t="str">
        <f t="shared" si="5"/>
        <v>Geral</v>
      </c>
      <c r="G24" s="198" t="s">
        <v>20</v>
      </c>
      <c r="H24" s="199">
        <f t="shared" si="13"/>
        <v>2028</v>
      </c>
      <c r="I24" s="200">
        <f t="shared" ca="1" si="13"/>
        <v>36.142742272880319</v>
      </c>
      <c r="J24" s="200" t="str">
        <f>IF(controle_formulario!$C$39=1,controle_formulario!$C$37,controle_formulario!$C$38)</f>
        <v>Epidemiologico Beneficiarios Saude Suplementar</v>
      </c>
      <c r="K24" s="197" t="s">
        <v>169</v>
      </c>
      <c r="L24" s="197">
        <f t="shared" si="12"/>
        <v>0</v>
      </c>
      <c r="M24" s="201">
        <f t="shared" ref="M24:N31" si="14">M23</f>
        <v>0</v>
      </c>
      <c r="N24" s="201">
        <f t="shared" si="14"/>
        <v>0</v>
      </c>
      <c r="O24" s="197" t="s">
        <v>158</v>
      </c>
      <c r="P24" s="197" t="str">
        <f t="shared" si="1"/>
        <v>Sem pirtobrutinibe</v>
      </c>
      <c r="Q24" s="202">
        <f>'Market Share'!F10</f>
        <v>0</v>
      </c>
      <c r="R24" s="203">
        <f t="shared" ca="1" si="10"/>
        <v>4138105.4151356164</v>
      </c>
      <c r="S24" s="204">
        <f t="shared" si="10"/>
        <v>0</v>
      </c>
    </row>
    <row r="25" spans="1:19" x14ac:dyDescent="0.3">
      <c r="A25" s="198" t="str">
        <f>IF(AND(VALUE(RIGHT(K25,2))&lt;=controle_formulario!$C$10,H25&lt;=Criterios!$C$31+controle_formulario!$I$16-1),"SIM","NÃO")</f>
        <v>NÃO</v>
      </c>
      <c r="B25" s="198">
        <f t="shared" si="2"/>
        <v>0</v>
      </c>
      <c r="C25" s="198" t="str">
        <f t="shared" si="3"/>
        <v>Formrol</v>
      </c>
      <c r="D25" s="179" t="s">
        <v>182</v>
      </c>
      <c r="E25" s="198" t="str">
        <f t="shared" si="4"/>
        <v>Planilha 1</v>
      </c>
      <c r="F25" s="198" t="str">
        <f t="shared" si="5"/>
        <v>Geral</v>
      </c>
      <c r="G25" s="198" t="s">
        <v>21</v>
      </c>
      <c r="H25" s="199">
        <f t="shared" si="13"/>
        <v>2029</v>
      </c>
      <c r="I25" s="200">
        <f t="shared" ca="1" si="13"/>
        <v>36.250027878529522</v>
      </c>
      <c r="J25" s="200" t="str">
        <f>IF(controle_formulario!$C$39=1,controle_formulario!$C$37,controle_formulario!$C$38)</f>
        <v>Epidemiologico Beneficiarios Saude Suplementar</v>
      </c>
      <c r="K25" s="197" t="s">
        <v>169</v>
      </c>
      <c r="L25" s="197">
        <f t="shared" si="12"/>
        <v>0</v>
      </c>
      <c r="M25" s="201">
        <f t="shared" si="14"/>
        <v>0</v>
      </c>
      <c r="N25" s="201">
        <f t="shared" si="14"/>
        <v>0</v>
      </c>
      <c r="O25" s="197" t="s">
        <v>158</v>
      </c>
      <c r="P25" s="197" t="str">
        <f t="shared" si="1"/>
        <v>Sem pirtobrutinibe</v>
      </c>
      <c r="Q25" s="202">
        <f>'Market Share'!F11</f>
        <v>0</v>
      </c>
      <c r="R25" s="203">
        <f t="shared" ca="1" si="10"/>
        <v>4150388.9087994657</v>
      </c>
      <c r="S25" s="204">
        <f t="shared" si="10"/>
        <v>0</v>
      </c>
    </row>
    <row r="26" spans="1:19" x14ac:dyDescent="0.3">
      <c r="A26" s="198" t="str">
        <f>IF(AND(VALUE(RIGHT(K26,2))&lt;=controle_formulario!$C$10,H26&lt;=Criterios!$C$31+controle_formulario!$I$16-1),"SIM","NÃO")</f>
        <v>NÃO</v>
      </c>
      <c r="B26" s="198">
        <f t="shared" si="2"/>
        <v>0</v>
      </c>
      <c r="C26" s="198" t="str">
        <f t="shared" si="3"/>
        <v>Formrol</v>
      </c>
      <c r="D26" s="179" t="s">
        <v>182</v>
      </c>
      <c r="E26" s="198" t="str">
        <f t="shared" si="4"/>
        <v>Planilha 1</v>
      </c>
      <c r="F26" s="198" t="str">
        <f t="shared" si="5"/>
        <v>Geral</v>
      </c>
      <c r="G26" s="198" t="s">
        <v>22</v>
      </c>
      <c r="H26" s="199">
        <f t="shared" si="13"/>
        <v>2030</v>
      </c>
      <c r="I26" s="200">
        <f t="shared" ca="1" si="13"/>
        <v>36.350592396534239</v>
      </c>
      <c r="J26" s="200" t="str">
        <f>IF(controle_formulario!$C$39=1,controle_formulario!$C$37,controle_formulario!$C$38)</f>
        <v>Epidemiologico Beneficiarios Saude Suplementar</v>
      </c>
      <c r="K26" s="197" t="s">
        <v>169</v>
      </c>
      <c r="L26" s="197">
        <f t="shared" si="12"/>
        <v>0</v>
      </c>
      <c r="M26" s="201">
        <f t="shared" si="14"/>
        <v>0</v>
      </c>
      <c r="N26" s="201">
        <f t="shared" si="14"/>
        <v>0</v>
      </c>
      <c r="O26" s="197" t="s">
        <v>158</v>
      </c>
      <c r="P26" s="197" t="str">
        <f t="shared" si="1"/>
        <v>Sem pirtobrutinibe</v>
      </c>
      <c r="Q26" s="202">
        <f>'Market Share'!F12</f>
        <v>0</v>
      </c>
      <c r="R26" s="203">
        <f t="shared" ca="1" si="10"/>
        <v>4161902.8822933384</v>
      </c>
      <c r="S26" s="204">
        <f t="shared" si="10"/>
        <v>0</v>
      </c>
    </row>
    <row r="27" spans="1:19" x14ac:dyDescent="0.3">
      <c r="A27" s="198" t="str">
        <f>IF(AND(VALUE(RIGHT(K27,2))&lt;=controle_formulario!$C$10,H27&lt;=Criterios!$C$31+controle_formulario!$I$16-1),"SIM","NÃO")</f>
        <v>NÃO</v>
      </c>
      <c r="B27" s="198">
        <f t="shared" si="2"/>
        <v>0</v>
      </c>
      <c r="C27" s="198" t="str">
        <f t="shared" si="3"/>
        <v>Formrol</v>
      </c>
      <c r="D27" s="179" t="s">
        <v>182</v>
      </c>
      <c r="E27" s="198" t="str">
        <f t="shared" si="4"/>
        <v>Planilha 1</v>
      </c>
      <c r="F27" s="198" t="str">
        <f t="shared" si="5"/>
        <v>Geral</v>
      </c>
      <c r="G27" s="198" t="s">
        <v>23</v>
      </c>
      <c r="H27" s="199">
        <f t="shared" si="13"/>
        <v>2031</v>
      </c>
      <c r="I27" s="200">
        <f t="shared" si="13"/>
        <v>0</v>
      </c>
      <c r="J27" s="200" t="str">
        <f>IF(controle_formulario!$C$39=1,controle_formulario!$C$37,controle_formulario!$C$38)</f>
        <v>Epidemiologico Beneficiarios Saude Suplementar</v>
      </c>
      <c r="K27" s="197" t="s">
        <v>169</v>
      </c>
      <c r="L27" s="197">
        <f t="shared" si="12"/>
        <v>0</v>
      </c>
      <c r="M27" s="201">
        <f t="shared" si="14"/>
        <v>0</v>
      </c>
      <c r="N27" s="201">
        <f t="shared" si="14"/>
        <v>0</v>
      </c>
      <c r="O27" s="197" t="s">
        <v>158</v>
      </c>
      <c r="P27" s="197" t="str">
        <f t="shared" si="1"/>
        <v>Sem pirtobrutinibe</v>
      </c>
      <c r="Q27" s="202">
        <f>'Market Share'!F13</f>
        <v>0</v>
      </c>
      <c r="R27" s="203">
        <f t="shared" ca="1" si="10"/>
        <v>0</v>
      </c>
      <c r="S27" s="204">
        <f t="shared" si="10"/>
        <v>0</v>
      </c>
    </row>
    <row r="28" spans="1:19" x14ac:dyDescent="0.3">
      <c r="A28" s="198" t="str">
        <f>IF(AND(VALUE(RIGHT(K28,2))&lt;=controle_formulario!$C$10,H28&lt;=Criterios!$C$31+controle_formulario!$I$16-1),"SIM","NÃO")</f>
        <v>NÃO</v>
      </c>
      <c r="B28" s="198">
        <f t="shared" si="2"/>
        <v>0</v>
      </c>
      <c r="C28" s="198" t="str">
        <f t="shared" si="3"/>
        <v>Formrol</v>
      </c>
      <c r="D28" s="179" t="s">
        <v>182</v>
      </c>
      <c r="E28" s="198" t="str">
        <f t="shared" si="4"/>
        <v>Planilha 1</v>
      </c>
      <c r="F28" s="198" t="str">
        <f t="shared" si="5"/>
        <v>Geral</v>
      </c>
      <c r="G28" s="198" t="s">
        <v>24</v>
      </c>
      <c r="H28" s="199">
        <f t="shared" si="13"/>
        <v>2032</v>
      </c>
      <c r="I28" s="200">
        <f t="shared" si="13"/>
        <v>0</v>
      </c>
      <c r="J28" s="200" t="str">
        <f>IF(controle_formulario!$C$39=1,controle_formulario!$C$37,controle_formulario!$C$38)</f>
        <v>Epidemiologico Beneficiarios Saude Suplementar</v>
      </c>
      <c r="K28" s="197" t="s">
        <v>169</v>
      </c>
      <c r="L28" s="197">
        <f t="shared" si="12"/>
        <v>0</v>
      </c>
      <c r="M28" s="201">
        <f t="shared" si="14"/>
        <v>0</v>
      </c>
      <c r="N28" s="201">
        <f t="shared" si="14"/>
        <v>0</v>
      </c>
      <c r="O28" s="197" t="s">
        <v>158</v>
      </c>
      <c r="P28" s="197" t="str">
        <f t="shared" si="1"/>
        <v>Sem pirtobrutinibe</v>
      </c>
      <c r="Q28" s="202">
        <f>'Market Share'!F14</f>
        <v>0</v>
      </c>
      <c r="R28" s="203">
        <f t="shared" ca="1" si="10"/>
        <v>0</v>
      </c>
      <c r="S28" s="204">
        <f t="shared" si="10"/>
        <v>0</v>
      </c>
    </row>
    <row r="29" spans="1:19" x14ac:dyDescent="0.3">
      <c r="A29" s="198" t="str">
        <f>IF(AND(VALUE(RIGHT(K29,2))&lt;=controle_formulario!$C$10,H29&lt;=Criterios!$C$31+controle_formulario!$I$16-1),"SIM","NÃO")</f>
        <v>NÃO</v>
      </c>
      <c r="B29" s="198">
        <f t="shared" si="2"/>
        <v>0</v>
      </c>
      <c r="C29" s="198" t="str">
        <f t="shared" si="3"/>
        <v>Formrol</v>
      </c>
      <c r="D29" s="179" t="s">
        <v>182</v>
      </c>
      <c r="E29" s="198" t="str">
        <f t="shared" si="4"/>
        <v>Planilha 1</v>
      </c>
      <c r="F29" s="198" t="str">
        <f t="shared" si="5"/>
        <v>Geral</v>
      </c>
      <c r="G29" s="198" t="s">
        <v>25</v>
      </c>
      <c r="H29" s="199">
        <f t="shared" si="13"/>
        <v>2033</v>
      </c>
      <c r="I29" s="200">
        <f t="shared" si="13"/>
        <v>0</v>
      </c>
      <c r="J29" s="200" t="str">
        <f>IF(controle_formulario!$C$39=1,controle_formulario!$C$37,controle_formulario!$C$38)</f>
        <v>Epidemiologico Beneficiarios Saude Suplementar</v>
      </c>
      <c r="K29" s="197" t="s">
        <v>169</v>
      </c>
      <c r="L29" s="197">
        <f t="shared" si="12"/>
        <v>0</v>
      </c>
      <c r="M29" s="201">
        <f t="shared" si="14"/>
        <v>0</v>
      </c>
      <c r="N29" s="201">
        <f t="shared" si="14"/>
        <v>0</v>
      </c>
      <c r="O29" s="197" t="s">
        <v>158</v>
      </c>
      <c r="P29" s="197" t="str">
        <f t="shared" si="1"/>
        <v>Sem pirtobrutinibe</v>
      </c>
      <c r="Q29" s="202">
        <f>'Market Share'!F15</f>
        <v>0</v>
      </c>
      <c r="R29" s="203">
        <f t="shared" ref="R29:S44" ca="1" si="15">R19</f>
        <v>0</v>
      </c>
      <c r="S29" s="204">
        <f t="shared" si="15"/>
        <v>0</v>
      </c>
    </row>
    <row r="30" spans="1:19" x14ac:dyDescent="0.3">
      <c r="A30" s="198" t="str">
        <f>IF(AND(VALUE(RIGHT(K30,2))&lt;=controle_formulario!$C$10,H30&lt;=Criterios!$C$31+controle_formulario!$I$16-1),"SIM","NÃO")</f>
        <v>NÃO</v>
      </c>
      <c r="B30" s="198">
        <f t="shared" si="2"/>
        <v>0</v>
      </c>
      <c r="C30" s="198" t="str">
        <f t="shared" si="3"/>
        <v>Formrol</v>
      </c>
      <c r="D30" s="179" t="s">
        <v>182</v>
      </c>
      <c r="E30" s="198" t="str">
        <f t="shared" si="4"/>
        <v>Planilha 1</v>
      </c>
      <c r="F30" s="198" t="str">
        <f t="shared" si="5"/>
        <v>Geral</v>
      </c>
      <c r="G30" s="198" t="s">
        <v>26</v>
      </c>
      <c r="H30" s="199">
        <f t="shared" si="13"/>
        <v>2034</v>
      </c>
      <c r="I30" s="200">
        <f t="shared" si="13"/>
        <v>0</v>
      </c>
      <c r="J30" s="200" t="str">
        <f>IF(controle_formulario!$C$39=1,controle_formulario!$C$37,controle_formulario!$C$38)</f>
        <v>Epidemiologico Beneficiarios Saude Suplementar</v>
      </c>
      <c r="K30" s="197" t="s">
        <v>169</v>
      </c>
      <c r="L30" s="197">
        <f t="shared" si="12"/>
        <v>0</v>
      </c>
      <c r="M30" s="201">
        <f t="shared" si="14"/>
        <v>0</v>
      </c>
      <c r="N30" s="201">
        <f t="shared" si="14"/>
        <v>0</v>
      </c>
      <c r="O30" s="197" t="s">
        <v>158</v>
      </c>
      <c r="P30" s="197" t="str">
        <f t="shared" si="1"/>
        <v>Sem pirtobrutinibe</v>
      </c>
      <c r="Q30" s="202">
        <f>'Market Share'!F16</f>
        <v>0</v>
      </c>
      <c r="R30" s="203">
        <f t="shared" ca="1" si="15"/>
        <v>0</v>
      </c>
      <c r="S30" s="204">
        <f t="shared" si="15"/>
        <v>0</v>
      </c>
    </row>
    <row r="31" spans="1:19" ht="15" thickBot="1" x14ac:dyDescent="0.35">
      <c r="A31" s="205" t="str">
        <f>IF(AND(VALUE(RIGHT(K31,2))&lt;=controle_formulario!$C$10,H31&lt;=Criterios!$C$31+controle_formulario!$I$16-1),"SIM","NÃO")</f>
        <v>NÃO</v>
      </c>
      <c r="B31" s="205">
        <f t="shared" si="2"/>
        <v>0</v>
      </c>
      <c r="C31" s="205" t="str">
        <f t="shared" si="3"/>
        <v>Formrol</v>
      </c>
      <c r="D31" s="180" t="s">
        <v>182</v>
      </c>
      <c r="E31" s="205" t="str">
        <f t="shared" si="4"/>
        <v>Planilha 1</v>
      </c>
      <c r="F31" s="205" t="str">
        <f t="shared" si="5"/>
        <v>Geral</v>
      </c>
      <c r="G31" s="205" t="s">
        <v>27</v>
      </c>
      <c r="H31" s="206">
        <f t="shared" si="13"/>
        <v>2035</v>
      </c>
      <c r="I31" s="207">
        <f t="shared" si="13"/>
        <v>0</v>
      </c>
      <c r="J31" s="207" t="str">
        <f>IF(controle_formulario!$C$39=1,controle_formulario!$C$37,controle_formulario!$C$38)</f>
        <v>Epidemiologico Beneficiarios Saude Suplementar</v>
      </c>
      <c r="K31" s="208" t="s">
        <v>169</v>
      </c>
      <c r="L31" s="208">
        <f t="shared" si="12"/>
        <v>0</v>
      </c>
      <c r="M31" s="201">
        <f t="shared" si="14"/>
        <v>0</v>
      </c>
      <c r="N31" s="201">
        <f t="shared" si="14"/>
        <v>0</v>
      </c>
      <c r="O31" s="208" t="s">
        <v>158</v>
      </c>
      <c r="P31" s="208" t="str">
        <f t="shared" si="1"/>
        <v>Sem pirtobrutinibe</v>
      </c>
      <c r="Q31" s="209">
        <f>'Market Share'!F17</f>
        <v>0</v>
      </c>
      <c r="R31" s="210">
        <f t="shared" ca="1" si="15"/>
        <v>0</v>
      </c>
      <c r="S31" s="211">
        <f t="shared" si="15"/>
        <v>0</v>
      </c>
    </row>
    <row r="32" spans="1:19" x14ac:dyDescent="0.3">
      <c r="A32" s="189" t="str">
        <f>IF(AND(VALUE(RIGHT(K32,2))&lt;=controle_formulario!$C$10,H32&lt;=Criterios!$C$31+controle_formulario!$I$16-1),"SIM","NÃO")</f>
        <v>NÃO</v>
      </c>
      <c r="B32" s="189">
        <f t="shared" si="2"/>
        <v>0</v>
      </c>
      <c r="C32" s="189" t="str">
        <f t="shared" si="3"/>
        <v>Formrol</v>
      </c>
      <c r="D32" s="177" t="s">
        <v>182</v>
      </c>
      <c r="E32" s="189" t="str">
        <f t="shared" si="4"/>
        <v>Planilha 1</v>
      </c>
      <c r="F32" s="189" t="str">
        <f t="shared" si="5"/>
        <v>Geral</v>
      </c>
      <c r="G32" s="189" t="s">
        <v>18</v>
      </c>
      <c r="H32" s="190">
        <f>H22</f>
        <v>2026</v>
      </c>
      <c r="I32" s="191">
        <f ca="1">I22</f>
        <v>35.902021176061034</v>
      </c>
      <c r="J32" s="191" t="str">
        <f>IF(controle_formulario!$C$39=1,controle_formulario!$C$37,controle_formulario!$C$38)</f>
        <v>Epidemiologico Beneficiarios Saude Suplementar</v>
      </c>
      <c r="K32" s="192" t="s">
        <v>170</v>
      </c>
      <c r="L32" s="192">
        <f t="shared" ref="L32:L41" si="16">trat.c</f>
        <v>0</v>
      </c>
      <c r="M32" s="193">
        <f>Resumo!$D$41</f>
        <v>0</v>
      </c>
      <c r="N32" s="193">
        <f>Resumo!$D$50</f>
        <v>0</v>
      </c>
      <c r="O32" s="192" t="s">
        <v>158</v>
      </c>
      <c r="P32" s="192" t="str">
        <f t="shared" si="1"/>
        <v>Sem pirtobrutinibe</v>
      </c>
      <c r="Q32" s="194">
        <f>'Market Share'!G8</f>
        <v>0</v>
      </c>
      <c r="R32" s="195">
        <f ca="1">R22</f>
        <v>4110544.4385289042</v>
      </c>
      <c r="S32" s="196">
        <f>S22</f>
        <v>0</v>
      </c>
    </row>
    <row r="33" spans="1:19" x14ac:dyDescent="0.3">
      <c r="A33" s="198" t="str">
        <f>IF(AND(VALUE(RIGHT(K33,2))&lt;=controle_formulario!$C$10,H33&lt;=Criterios!$C$31+controle_formulario!$I$16-1),"SIM","NÃO")</f>
        <v>NÃO</v>
      </c>
      <c r="B33" s="198">
        <f t="shared" si="2"/>
        <v>0</v>
      </c>
      <c r="C33" s="198" t="str">
        <f t="shared" si="3"/>
        <v>Formrol</v>
      </c>
      <c r="D33" s="179" t="s">
        <v>182</v>
      </c>
      <c r="E33" s="198" t="str">
        <f t="shared" si="4"/>
        <v>Planilha 1</v>
      </c>
      <c r="F33" s="198" t="str">
        <f t="shared" si="5"/>
        <v>Geral</v>
      </c>
      <c r="G33" s="198" t="s">
        <v>19</v>
      </c>
      <c r="H33" s="199">
        <f t="shared" ref="H33:I41" si="17">H23</f>
        <v>2027</v>
      </c>
      <c r="I33" s="200">
        <f t="shared" ca="1" si="17"/>
        <v>36.027114594978322</v>
      </c>
      <c r="J33" s="200" t="str">
        <f>IF(controle_formulario!$C$39=1,controle_formulario!$C$37,controle_formulario!$C$38)</f>
        <v>Epidemiologico Beneficiarios Saude Suplementar</v>
      </c>
      <c r="K33" s="197" t="s">
        <v>170</v>
      </c>
      <c r="L33" s="197">
        <f t="shared" si="16"/>
        <v>0</v>
      </c>
      <c r="M33" s="201">
        <f>M32</f>
        <v>0</v>
      </c>
      <c r="N33" s="201">
        <f>N32</f>
        <v>0</v>
      </c>
      <c r="O33" s="197" t="s">
        <v>158</v>
      </c>
      <c r="P33" s="197" t="str">
        <f t="shared" si="1"/>
        <v>Sem pirtobrutinibe</v>
      </c>
      <c r="Q33" s="202">
        <f>'Market Share'!G9</f>
        <v>0</v>
      </c>
      <c r="R33" s="203">
        <f t="shared" ca="1" si="15"/>
        <v>4124866.8092641174</v>
      </c>
      <c r="S33" s="204">
        <f t="shared" si="15"/>
        <v>0</v>
      </c>
    </row>
    <row r="34" spans="1:19" x14ac:dyDescent="0.3">
      <c r="A34" s="198" t="str">
        <f>IF(AND(VALUE(RIGHT(K34,2))&lt;=controle_formulario!$C$10,H34&lt;=Criterios!$C$31+controle_formulario!$I$16-1),"SIM","NÃO")</f>
        <v>NÃO</v>
      </c>
      <c r="B34" s="198">
        <f t="shared" si="2"/>
        <v>0</v>
      </c>
      <c r="C34" s="198" t="str">
        <f t="shared" si="3"/>
        <v>Formrol</v>
      </c>
      <c r="D34" s="179" t="s">
        <v>182</v>
      </c>
      <c r="E34" s="198" t="str">
        <f t="shared" si="4"/>
        <v>Planilha 1</v>
      </c>
      <c r="F34" s="198" t="str">
        <f t="shared" si="5"/>
        <v>Geral</v>
      </c>
      <c r="G34" s="198" t="s">
        <v>20</v>
      </c>
      <c r="H34" s="199">
        <f t="shared" si="17"/>
        <v>2028</v>
      </c>
      <c r="I34" s="200">
        <f t="shared" ca="1" si="17"/>
        <v>36.142742272880319</v>
      </c>
      <c r="J34" s="200" t="str">
        <f>IF(controle_formulario!$C$39=1,controle_formulario!$C$37,controle_formulario!$C$38)</f>
        <v>Epidemiologico Beneficiarios Saude Suplementar</v>
      </c>
      <c r="K34" s="197" t="s">
        <v>170</v>
      </c>
      <c r="L34" s="197">
        <f t="shared" si="16"/>
        <v>0</v>
      </c>
      <c r="M34" s="201">
        <f t="shared" ref="M34:N41" si="18">M33</f>
        <v>0</v>
      </c>
      <c r="N34" s="201">
        <f t="shared" si="18"/>
        <v>0</v>
      </c>
      <c r="O34" s="197" t="s">
        <v>158</v>
      </c>
      <c r="P34" s="197" t="str">
        <f t="shared" ref="P34:P51" si="19">cen.ref</f>
        <v>Sem pirtobrutinibe</v>
      </c>
      <c r="Q34" s="202">
        <f>'Market Share'!G10</f>
        <v>0</v>
      </c>
      <c r="R34" s="203">
        <f t="shared" ca="1" si="15"/>
        <v>4138105.4151356164</v>
      </c>
      <c r="S34" s="204">
        <f t="shared" si="15"/>
        <v>0</v>
      </c>
    </row>
    <row r="35" spans="1:19" x14ac:dyDescent="0.3">
      <c r="A35" s="198" t="str">
        <f>IF(AND(VALUE(RIGHT(K35,2))&lt;=controle_formulario!$C$10,H35&lt;=Criterios!$C$31+controle_formulario!$I$16-1),"SIM","NÃO")</f>
        <v>NÃO</v>
      </c>
      <c r="B35" s="198">
        <f t="shared" si="2"/>
        <v>0</v>
      </c>
      <c r="C35" s="198" t="str">
        <f t="shared" si="3"/>
        <v>Formrol</v>
      </c>
      <c r="D35" s="179" t="s">
        <v>182</v>
      </c>
      <c r="E35" s="198" t="str">
        <f t="shared" si="4"/>
        <v>Planilha 1</v>
      </c>
      <c r="F35" s="198" t="str">
        <f t="shared" si="5"/>
        <v>Geral</v>
      </c>
      <c r="G35" s="198" t="s">
        <v>21</v>
      </c>
      <c r="H35" s="199">
        <f t="shared" si="17"/>
        <v>2029</v>
      </c>
      <c r="I35" s="200">
        <f t="shared" ca="1" si="17"/>
        <v>36.250027878529522</v>
      </c>
      <c r="J35" s="200" t="str">
        <f>IF(controle_formulario!$C$39=1,controle_formulario!$C$37,controle_formulario!$C$38)</f>
        <v>Epidemiologico Beneficiarios Saude Suplementar</v>
      </c>
      <c r="K35" s="197" t="s">
        <v>170</v>
      </c>
      <c r="L35" s="197">
        <f t="shared" si="16"/>
        <v>0</v>
      </c>
      <c r="M35" s="201">
        <f t="shared" si="18"/>
        <v>0</v>
      </c>
      <c r="N35" s="201">
        <f t="shared" si="18"/>
        <v>0</v>
      </c>
      <c r="O35" s="197" t="s">
        <v>158</v>
      </c>
      <c r="P35" s="197" t="str">
        <f t="shared" si="19"/>
        <v>Sem pirtobrutinibe</v>
      </c>
      <c r="Q35" s="202">
        <f>'Market Share'!G11</f>
        <v>0</v>
      </c>
      <c r="R35" s="203">
        <f t="shared" ca="1" si="15"/>
        <v>4150388.9087994657</v>
      </c>
      <c r="S35" s="204">
        <f t="shared" si="15"/>
        <v>0</v>
      </c>
    </row>
    <row r="36" spans="1:19" x14ac:dyDescent="0.3">
      <c r="A36" s="198" t="str">
        <f>IF(AND(VALUE(RIGHT(K36,2))&lt;=controle_formulario!$C$10,H36&lt;=Criterios!$C$31+controle_formulario!$I$16-1),"SIM","NÃO")</f>
        <v>NÃO</v>
      </c>
      <c r="B36" s="198">
        <f t="shared" si="2"/>
        <v>0</v>
      </c>
      <c r="C36" s="198" t="str">
        <f t="shared" si="3"/>
        <v>Formrol</v>
      </c>
      <c r="D36" s="179" t="s">
        <v>182</v>
      </c>
      <c r="E36" s="198" t="str">
        <f t="shared" si="4"/>
        <v>Planilha 1</v>
      </c>
      <c r="F36" s="198" t="str">
        <f t="shared" si="5"/>
        <v>Geral</v>
      </c>
      <c r="G36" s="198" t="s">
        <v>22</v>
      </c>
      <c r="H36" s="199">
        <f t="shared" si="17"/>
        <v>2030</v>
      </c>
      <c r="I36" s="200">
        <f t="shared" ca="1" si="17"/>
        <v>36.350592396534239</v>
      </c>
      <c r="J36" s="200" t="str">
        <f>IF(controle_formulario!$C$39=1,controle_formulario!$C$37,controle_formulario!$C$38)</f>
        <v>Epidemiologico Beneficiarios Saude Suplementar</v>
      </c>
      <c r="K36" s="197" t="s">
        <v>170</v>
      </c>
      <c r="L36" s="197">
        <f t="shared" si="16"/>
        <v>0</v>
      </c>
      <c r="M36" s="201">
        <f t="shared" si="18"/>
        <v>0</v>
      </c>
      <c r="N36" s="201">
        <f t="shared" si="18"/>
        <v>0</v>
      </c>
      <c r="O36" s="197" t="s">
        <v>158</v>
      </c>
      <c r="P36" s="197" t="str">
        <f t="shared" si="19"/>
        <v>Sem pirtobrutinibe</v>
      </c>
      <c r="Q36" s="202">
        <f>'Market Share'!G12</f>
        <v>0</v>
      </c>
      <c r="R36" s="203">
        <f t="shared" ca="1" si="15"/>
        <v>4161902.8822933384</v>
      </c>
      <c r="S36" s="204">
        <f t="shared" si="15"/>
        <v>0</v>
      </c>
    </row>
    <row r="37" spans="1:19" x14ac:dyDescent="0.3">
      <c r="A37" s="198" t="str">
        <f>IF(AND(VALUE(RIGHT(K37,2))&lt;=controle_formulario!$C$10,H37&lt;=Criterios!$C$31+controle_formulario!$I$16-1),"SIM","NÃO")</f>
        <v>NÃO</v>
      </c>
      <c r="B37" s="198">
        <f t="shared" si="2"/>
        <v>0</v>
      </c>
      <c r="C37" s="198" t="str">
        <f t="shared" si="3"/>
        <v>Formrol</v>
      </c>
      <c r="D37" s="179" t="s">
        <v>182</v>
      </c>
      <c r="E37" s="198" t="str">
        <f t="shared" si="4"/>
        <v>Planilha 1</v>
      </c>
      <c r="F37" s="198" t="str">
        <f t="shared" si="5"/>
        <v>Geral</v>
      </c>
      <c r="G37" s="198" t="s">
        <v>23</v>
      </c>
      <c r="H37" s="199">
        <f t="shared" si="17"/>
        <v>2031</v>
      </c>
      <c r="I37" s="200">
        <f t="shared" si="17"/>
        <v>0</v>
      </c>
      <c r="J37" s="200" t="str">
        <f>IF(controle_formulario!$C$39=1,controle_formulario!$C$37,controle_formulario!$C$38)</f>
        <v>Epidemiologico Beneficiarios Saude Suplementar</v>
      </c>
      <c r="K37" s="197" t="s">
        <v>170</v>
      </c>
      <c r="L37" s="197">
        <f t="shared" si="16"/>
        <v>0</v>
      </c>
      <c r="M37" s="201">
        <f t="shared" si="18"/>
        <v>0</v>
      </c>
      <c r="N37" s="201">
        <f t="shared" si="18"/>
        <v>0</v>
      </c>
      <c r="O37" s="197" t="s">
        <v>158</v>
      </c>
      <c r="P37" s="197" t="str">
        <f t="shared" si="19"/>
        <v>Sem pirtobrutinibe</v>
      </c>
      <c r="Q37" s="202">
        <f>'Market Share'!G13</f>
        <v>0</v>
      </c>
      <c r="R37" s="203">
        <f t="shared" ca="1" si="15"/>
        <v>0</v>
      </c>
      <c r="S37" s="204">
        <f t="shared" si="15"/>
        <v>0</v>
      </c>
    </row>
    <row r="38" spans="1:19" x14ac:dyDescent="0.3">
      <c r="A38" s="198" t="str">
        <f>IF(AND(VALUE(RIGHT(K38,2))&lt;=controle_formulario!$C$10,H38&lt;=Criterios!$C$31+controle_formulario!$I$16-1),"SIM","NÃO")</f>
        <v>NÃO</v>
      </c>
      <c r="B38" s="198">
        <f t="shared" si="2"/>
        <v>0</v>
      </c>
      <c r="C38" s="198" t="str">
        <f t="shared" si="3"/>
        <v>Formrol</v>
      </c>
      <c r="D38" s="179" t="s">
        <v>182</v>
      </c>
      <c r="E38" s="198" t="str">
        <f t="shared" si="4"/>
        <v>Planilha 1</v>
      </c>
      <c r="F38" s="198" t="str">
        <f t="shared" si="5"/>
        <v>Geral</v>
      </c>
      <c r="G38" s="198" t="s">
        <v>24</v>
      </c>
      <c r="H38" s="199">
        <f t="shared" si="17"/>
        <v>2032</v>
      </c>
      <c r="I38" s="200">
        <f t="shared" si="17"/>
        <v>0</v>
      </c>
      <c r="J38" s="200" t="str">
        <f>IF(controle_formulario!$C$39=1,controle_formulario!$C$37,controle_formulario!$C$38)</f>
        <v>Epidemiologico Beneficiarios Saude Suplementar</v>
      </c>
      <c r="K38" s="197" t="s">
        <v>170</v>
      </c>
      <c r="L38" s="197">
        <f t="shared" si="16"/>
        <v>0</v>
      </c>
      <c r="M38" s="201">
        <f t="shared" si="18"/>
        <v>0</v>
      </c>
      <c r="N38" s="201">
        <f t="shared" si="18"/>
        <v>0</v>
      </c>
      <c r="O38" s="197" t="s">
        <v>158</v>
      </c>
      <c r="P38" s="197" t="str">
        <f t="shared" si="19"/>
        <v>Sem pirtobrutinibe</v>
      </c>
      <c r="Q38" s="202">
        <f>'Market Share'!G14</f>
        <v>0</v>
      </c>
      <c r="R38" s="203">
        <f t="shared" ca="1" si="15"/>
        <v>0</v>
      </c>
      <c r="S38" s="204">
        <f t="shared" si="15"/>
        <v>0</v>
      </c>
    </row>
    <row r="39" spans="1:19" x14ac:dyDescent="0.3">
      <c r="A39" s="198" t="str">
        <f>IF(AND(VALUE(RIGHT(K39,2))&lt;=controle_formulario!$C$10,H39&lt;=Criterios!$C$31+controle_formulario!$I$16-1),"SIM","NÃO")</f>
        <v>NÃO</v>
      </c>
      <c r="B39" s="198">
        <f t="shared" si="2"/>
        <v>0</v>
      </c>
      <c r="C39" s="198" t="str">
        <f t="shared" si="3"/>
        <v>Formrol</v>
      </c>
      <c r="D39" s="179" t="s">
        <v>182</v>
      </c>
      <c r="E39" s="198" t="str">
        <f t="shared" si="4"/>
        <v>Planilha 1</v>
      </c>
      <c r="F39" s="198" t="str">
        <f t="shared" si="5"/>
        <v>Geral</v>
      </c>
      <c r="G39" s="198" t="s">
        <v>25</v>
      </c>
      <c r="H39" s="199">
        <f t="shared" si="17"/>
        <v>2033</v>
      </c>
      <c r="I39" s="200">
        <f t="shared" si="17"/>
        <v>0</v>
      </c>
      <c r="J39" s="200" t="str">
        <f>IF(controle_formulario!$C$39=1,controle_formulario!$C$37,controle_formulario!$C$38)</f>
        <v>Epidemiologico Beneficiarios Saude Suplementar</v>
      </c>
      <c r="K39" s="197" t="s">
        <v>170</v>
      </c>
      <c r="L39" s="197">
        <f t="shared" si="16"/>
        <v>0</v>
      </c>
      <c r="M39" s="201">
        <f t="shared" si="18"/>
        <v>0</v>
      </c>
      <c r="N39" s="201">
        <f t="shared" si="18"/>
        <v>0</v>
      </c>
      <c r="O39" s="197" t="s">
        <v>158</v>
      </c>
      <c r="P39" s="197" t="str">
        <f t="shared" si="19"/>
        <v>Sem pirtobrutinibe</v>
      </c>
      <c r="Q39" s="202">
        <f>'Market Share'!G15</f>
        <v>0</v>
      </c>
      <c r="R39" s="203">
        <f t="shared" ca="1" si="15"/>
        <v>0</v>
      </c>
      <c r="S39" s="204">
        <f t="shared" si="15"/>
        <v>0</v>
      </c>
    </row>
    <row r="40" spans="1:19" x14ac:dyDescent="0.3">
      <c r="A40" s="198" t="str">
        <f>IF(AND(VALUE(RIGHT(K40,2))&lt;=controle_formulario!$C$10,H40&lt;=Criterios!$C$31+controle_formulario!$I$16-1),"SIM","NÃO")</f>
        <v>NÃO</v>
      </c>
      <c r="B40" s="198">
        <f t="shared" si="2"/>
        <v>0</v>
      </c>
      <c r="C40" s="198" t="str">
        <f t="shared" si="3"/>
        <v>Formrol</v>
      </c>
      <c r="D40" s="179" t="s">
        <v>182</v>
      </c>
      <c r="E40" s="198" t="str">
        <f t="shared" si="4"/>
        <v>Planilha 1</v>
      </c>
      <c r="F40" s="198" t="str">
        <f t="shared" si="5"/>
        <v>Geral</v>
      </c>
      <c r="G40" s="198" t="s">
        <v>26</v>
      </c>
      <c r="H40" s="199">
        <f t="shared" si="17"/>
        <v>2034</v>
      </c>
      <c r="I40" s="200">
        <f t="shared" si="17"/>
        <v>0</v>
      </c>
      <c r="J40" s="200" t="str">
        <f>IF(controle_formulario!$C$39=1,controle_formulario!$C$37,controle_formulario!$C$38)</f>
        <v>Epidemiologico Beneficiarios Saude Suplementar</v>
      </c>
      <c r="K40" s="197" t="s">
        <v>170</v>
      </c>
      <c r="L40" s="197">
        <f t="shared" si="16"/>
        <v>0</v>
      </c>
      <c r="M40" s="201">
        <f t="shared" si="18"/>
        <v>0</v>
      </c>
      <c r="N40" s="201">
        <f t="shared" si="18"/>
        <v>0</v>
      </c>
      <c r="O40" s="197" t="s">
        <v>158</v>
      </c>
      <c r="P40" s="197" t="str">
        <f t="shared" si="19"/>
        <v>Sem pirtobrutinibe</v>
      </c>
      <c r="Q40" s="202">
        <f>'Market Share'!G16</f>
        <v>0</v>
      </c>
      <c r="R40" s="203">
        <f t="shared" ca="1" si="15"/>
        <v>0</v>
      </c>
      <c r="S40" s="204">
        <f t="shared" si="15"/>
        <v>0</v>
      </c>
    </row>
    <row r="41" spans="1:19" ht="15" thickBot="1" x14ac:dyDescent="0.35">
      <c r="A41" s="205" t="str">
        <f>IF(AND(VALUE(RIGHT(K41,2))&lt;=controle_formulario!$C$10,H41&lt;=Criterios!$C$31+controle_formulario!$I$16-1),"SIM","NÃO")</f>
        <v>NÃO</v>
      </c>
      <c r="B41" s="205">
        <f t="shared" si="2"/>
        <v>0</v>
      </c>
      <c r="C41" s="205" t="str">
        <f t="shared" si="3"/>
        <v>Formrol</v>
      </c>
      <c r="D41" s="180" t="s">
        <v>182</v>
      </c>
      <c r="E41" s="205" t="str">
        <f t="shared" si="4"/>
        <v>Planilha 1</v>
      </c>
      <c r="F41" s="205" t="str">
        <f t="shared" si="5"/>
        <v>Geral</v>
      </c>
      <c r="G41" s="205" t="s">
        <v>27</v>
      </c>
      <c r="H41" s="206">
        <f t="shared" si="17"/>
        <v>2035</v>
      </c>
      <c r="I41" s="207">
        <f t="shared" si="17"/>
        <v>0</v>
      </c>
      <c r="J41" s="207" t="str">
        <f>IF(controle_formulario!$C$39=1,controle_formulario!$C$37,controle_formulario!$C$38)</f>
        <v>Epidemiologico Beneficiarios Saude Suplementar</v>
      </c>
      <c r="K41" s="208" t="s">
        <v>170</v>
      </c>
      <c r="L41" s="208">
        <f t="shared" si="16"/>
        <v>0</v>
      </c>
      <c r="M41" s="201">
        <f t="shared" si="18"/>
        <v>0</v>
      </c>
      <c r="N41" s="201">
        <f t="shared" si="18"/>
        <v>0</v>
      </c>
      <c r="O41" s="208" t="s">
        <v>158</v>
      </c>
      <c r="P41" s="208" t="str">
        <f t="shared" si="19"/>
        <v>Sem pirtobrutinibe</v>
      </c>
      <c r="Q41" s="209">
        <f>'Market Share'!G17</f>
        <v>0</v>
      </c>
      <c r="R41" s="210">
        <f t="shared" ca="1" si="15"/>
        <v>0</v>
      </c>
      <c r="S41" s="211">
        <f t="shared" si="15"/>
        <v>0</v>
      </c>
    </row>
    <row r="42" spans="1:19" x14ac:dyDescent="0.3">
      <c r="A42" s="189" t="str">
        <f>IF(AND(VALUE(RIGHT(K42,2))&lt;=controle_formulario!$C$10,H42&lt;=Criterios!$C$31+controle_formulario!$I$16-1),"SIM","NÃO")</f>
        <v>NÃO</v>
      </c>
      <c r="B42" s="189">
        <f t="shared" si="2"/>
        <v>0</v>
      </c>
      <c r="C42" s="189" t="str">
        <f t="shared" si="3"/>
        <v>Formrol</v>
      </c>
      <c r="D42" s="177" t="s">
        <v>182</v>
      </c>
      <c r="E42" s="189" t="str">
        <f t="shared" si="4"/>
        <v>Planilha 1</v>
      </c>
      <c r="F42" s="189" t="str">
        <f t="shared" si="5"/>
        <v>Geral</v>
      </c>
      <c r="G42" s="189" t="s">
        <v>18</v>
      </c>
      <c r="H42" s="190">
        <f>H32</f>
        <v>2026</v>
      </c>
      <c r="I42" s="191">
        <f ca="1">I32</f>
        <v>35.902021176061034</v>
      </c>
      <c r="J42" s="191" t="str">
        <f>IF(controle_formulario!$C$39=1,controle_formulario!$C$37,controle_formulario!$C$38)</f>
        <v>Epidemiologico Beneficiarios Saude Suplementar</v>
      </c>
      <c r="K42" s="192" t="s">
        <v>171</v>
      </c>
      <c r="L42" s="192">
        <f t="shared" ref="L42:L51" si="20">trat.d</f>
        <v>0</v>
      </c>
      <c r="M42" s="193">
        <f>Resumo!$D$42</f>
        <v>0</v>
      </c>
      <c r="N42" s="193">
        <f>Resumo!$D$51</f>
        <v>0</v>
      </c>
      <c r="O42" s="192" t="s">
        <v>158</v>
      </c>
      <c r="P42" s="192" t="str">
        <f t="shared" si="19"/>
        <v>Sem pirtobrutinibe</v>
      </c>
      <c r="Q42" s="194">
        <f>'Market Share'!H8</f>
        <v>0</v>
      </c>
      <c r="R42" s="195">
        <f ca="1">R32</f>
        <v>4110544.4385289042</v>
      </c>
      <c r="S42" s="196">
        <f>S32</f>
        <v>0</v>
      </c>
    </row>
    <row r="43" spans="1:19" x14ac:dyDescent="0.3">
      <c r="A43" s="198" t="str">
        <f>IF(AND(VALUE(RIGHT(K43,2))&lt;=controle_formulario!$C$10,H43&lt;=Criterios!$C$31+controle_formulario!$I$16-1),"SIM","NÃO")</f>
        <v>NÃO</v>
      </c>
      <c r="B43" s="198">
        <f t="shared" si="2"/>
        <v>0</v>
      </c>
      <c r="C43" s="198" t="str">
        <f t="shared" si="3"/>
        <v>Formrol</v>
      </c>
      <c r="D43" s="179" t="s">
        <v>182</v>
      </c>
      <c r="E43" s="198" t="str">
        <f t="shared" si="4"/>
        <v>Planilha 1</v>
      </c>
      <c r="F43" s="198" t="str">
        <f t="shared" si="5"/>
        <v>Geral</v>
      </c>
      <c r="G43" s="198" t="s">
        <v>19</v>
      </c>
      <c r="H43" s="199">
        <f t="shared" ref="H43:I51" si="21">H33</f>
        <v>2027</v>
      </c>
      <c r="I43" s="200">
        <f t="shared" ca="1" si="21"/>
        <v>36.027114594978322</v>
      </c>
      <c r="J43" s="200" t="str">
        <f>IF(controle_formulario!$C$39=1,controle_formulario!$C$37,controle_formulario!$C$38)</f>
        <v>Epidemiologico Beneficiarios Saude Suplementar</v>
      </c>
      <c r="K43" s="197" t="s">
        <v>171</v>
      </c>
      <c r="L43" s="197">
        <f t="shared" si="20"/>
        <v>0</v>
      </c>
      <c r="M43" s="201">
        <f>M42</f>
        <v>0</v>
      </c>
      <c r="N43" s="201">
        <f>N42</f>
        <v>0</v>
      </c>
      <c r="O43" s="197" t="s">
        <v>158</v>
      </c>
      <c r="P43" s="197" t="str">
        <f t="shared" si="19"/>
        <v>Sem pirtobrutinibe</v>
      </c>
      <c r="Q43" s="202">
        <f>'Market Share'!H9</f>
        <v>0</v>
      </c>
      <c r="R43" s="203">
        <f t="shared" ca="1" si="15"/>
        <v>4124866.8092641174</v>
      </c>
      <c r="S43" s="204">
        <f t="shared" si="15"/>
        <v>0</v>
      </c>
    </row>
    <row r="44" spans="1:19" x14ac:dyDescent="0.3">
      <c r="A44" s="198" t="str">
        <f>IF(AND(VALUE(RIGHT(K44,2))&lt;=controle_formulario!$C$10,H44&lt;=Criterios!$C$31+controle_formulario!$I$16-1),"SIM","NÃO")</f>
        <v>NÃO</v>
      </c>
      <c r="B44" s="198">
        <f t="shared" si="2"/>
        <v>0</v>
      </c>
      <c r="C44" s="198" t="str">
        <f t="shared" si="3"/>
        <v>Formrol</v>
      </c>
      <c r="D44" s="179" t="s">
        <v>182</v>
      </c>
      <c r="E44" s="198" t="str">
        <f t="shared" si="4"/>
        <v>Planilha 1</v>
      </c>
      <c r="F44" s="198" t="str">
        <f t="shared" si="5"/>
        <v>Geral</v>
      </c>
      <c r="G44" s="198" t="s">
        <v>20</v>
      </c>
      <c r="H44" s="199">
        <f t="shared" si="21"/>
        <v>2028</v>
      </c>
      <c r="I44" s="200">
        <f t="shared" ca="1" si="21"/>
        <v>36.142742272880319</v>
      </c>
      <c r="J44" s="200" t="str">
        <f>IF(controle_formulario!$C$39=1,controle_formulario!$C$37,controle_formulario!$C$38)</f>
        <v>Epidemiologico Beneficiarios Saude Suplementar</v>
      </c>
      <c r="K44" s="197" t="s">
        <v>171</v>
      </c>
      <c r="L44" s="197">
        <f t="shared" si="20"/>
        <v>0</v>
      </c>
      <c r="M44" s="201">
        <f t="shared" ref="M44:N51" si="22">M43</f>
        <v>0</v>
      </c>
      <c r="N44" s="201">
        <f t="shared" si="22"/>
        <v>0</v>
      </c>
      <c r="O44" s="197" t="s">
        <v>158</v>
      </c>
      <c r="P44" s="197" t="str">
        <f t="shared" si="19"/>
        <v>Sem pirtobrutinibe</v>
      </c>
      <c r="Q44" s="202">
        <f>'Market Share'!H10</f>
        <v>0</v>
      </c>
      <c r="R44" s="203">
        <f t="shared" ca="1" si="15"/>
        <v>4138105.4151356164</v>
      </c>
      <c r="S44" s="204">
        <f t="shared" si="15"/>
        <v>0</v>
      </c>
    </row>
    <row r="45" spans="1:19" x14ac:dyDescent="0.3">
      <c r="A45" s="198" t="str">
        <f>IF(AND(VALUE(RIGHT(K45,2))&lt;=controle_formulario!$C$10,H45&lt;=Criterios!$C$31+controle_formulario!$I$16-1),"SIM","NÃO")</f>
        <v>NÃO</v>
      </c>
      <c r="B45" s="198">
        <f t="shared" si="2"/>
        <v>0</v>
      </c>
      <c r="C45" s="198" t="str">
        <f t="shared" si="3"/>
        <v>Formrol</v>
      </c>
      <c r="D45" s="179" t="s">
        <v>182</v>
      </c>
      <c r="E45" s="198" t="str">
        <f t="shared" si="4"/>
        <v>Planilha 1</v>
      </c>
      <c r="F45" s="198" t="str">
        <f t="shared" si="5"/>
        <v>Geral</v>
      </c>
      <c r="G45" s="198" t="s">
        <v>21</v>
      </c>
      <c r="H45" s="199">
        <f t="shared" si="21"/>
        <v>2029</v>
      </c>
      <c r="I45" s="200">
        <f t="shared" ca="1" si="21"/>
        <v>36.250027878529522</v>
      </c>
      <c r="J45" s="200" t="str">
        <f>IF(controle_formulario!$C$39=1,controle_formulario!$C$37,controle_formulario!$C$38)</f>
        <v>Epidemiologico Beneficiarios Saude Suplementar</v>
      </c>
      <c r="K45" s="197" t="s">
        <v>171</v>
      </c>
      <c r="L45" s="197">
        <f t="shared" si="20"/>
        <v>0</v>
      </c>
      <c r="M45" s="201">
        <f t="shared" si="22"/>
        <v>0</v>
      </c>
      <c r="N45" s="201">
        <f t="shared" si="22"/>
        <v>0</v>
      </c>
      <c r="O45" s="197" t="s">
        <v>158</v>
      </c>
      <c r="P45" s="197" t="str">
        <f t="shared" si="19"/>
        <v>Sem pirtobrutinibe</v>
      </c>
      <c r="Q45" s="202">
        <f>'Market Share'!H11</f>
        <v>0</v>
      </c>
      <c r="R45" s="203">
        <f t="shared" ref="R45:S51" ca="1" si="23">R35</f>
        <v>4150388.9087994657</v>
      </c>
      <c r="S45" s="204">
        <f t="shared" si="23"/>
        <v>0</v>
      </c>
    </row>
    <row r="46" spans="1:19" x14ac:dyDescent="0.3">
      <c r="A46" s="198" t="str">
        <f>IF(AND(VALUE(RIGHT(K46,2))&lt;=controle_formulario!$C$10,H46&lt;=Criterios!$C$31+controle_formulario!$I$16-1),"SIM","NÃO")</f>
        <v>NÃO</v>
      </c>
      <c r="B46" s="198">
        <f t="shared" si="2"/>
        <v>0</v>
      </c>
      <c r="C46" s="198" t="str">
        <f t="shared" si="3"/>
        <v>Formrol</v>
      </c>
      <c r="D46" s="179" t="s">
        <v>182</v>
      </c>
      <c r="E46" s="198" t="str">
        <f t="shared" si="4"/>
        <v>Planilha 1</v>
      </c>
      <c r="F46" s="198" t="str">
        <f t="shared" si="5"/>
        <v>Geral</v>
      </c>
      <c r="G46" s="198" t="s">
        <v>22</v>
      </c>
      <c r="H46" s="199">
        <f t="shared" si="21"/>
        <v>2030</v>
      </c>
      <c r="I46" s="200">
        <f t="shared" ca="1" si="21"/>
        <v>36.350592396534239</v>
      </c>
      <c r="J46" s="200" t="str">
        <f>IF(controle_formulario!$C$39=1,controle_formulario!$C$37,controle_formulario!$C$38)</f>
        <v>Epidemiologico Beneficiarios Saude Suplementar</v>
      </c>
      <c r="K46" s="197" t="s">
        <v>171</v>
      </c>
      <c r="L46" s="197">
        <f t="shared" si="20"/>
        <v>0</v>
      </c>
      <c r="M46" s="201">
        <f t="shared" si="22"/>
        <v>0</v>
      </c>
      <c r="N46" s="201">
        <f t="shared" si="22"/>
        <v>0</v>
      </c>
      <c r="O46" s="197" t="s">
        <v>158</v>
      </c>
      <c r="P46" s="197" t="str">
        <f t="shared" si="19"/>
        <v>Sem pirtobrutinibe</v>
      </c>
      <c r="Q46" s="202">
        <f>'Market Share'!H12</f>
        <v>0</v>
      </c>
      <c r="R46" s="203">
        <f t="shared" ca="1" si="23"/>
        <v>4161902.8822933384</v>
      </c>
      <c r="S46" s="204">
        <f t="shared" si="23"/>
        <v>0</v>
      </c>
    </row>
    <row r="47" spans="1:19" x14ac:dyDescent="0.3">
      <c r="A47" s="198" t="str">
        <f>IF(AND(VALUE(RIGHT(K47,2))&lt;=controle_formulario!$C$10,H47&lt;=Criterios!$C$31+controle_formulario!$I$16-1),"SIM","NÃO")</f>
        <v>NÃO</v>
      </c>
      <c r="B47" s="198">
        <f t="shared" si="2"/>
        <v>0</v>
      </c>
      <c r="C47" s="198" t="str">
        <f t="shared" si="3"/>
        <v>Formrol</v>
      </c>
      <c r="D47" s="179" t="s">
        <v>182</v>
      </c>
      <c r="E47" s="198" t="str">
        <f t="shared" si="4"/>
        <v>Planilha 1</v>
      </c>
      <c r="F47" s="198" t="str">
        <f t="shared" si="5"/>
        <v>Geral</v>
      </c>
      <c r="G47" s="198" t="s">
        <v>23</v>
      </c>
      <c r="H47" s="199">
        <f t="shared" si="21"/>
        <v>2031</v>
      </c>
      <c r="I47" s="200">
        <f t="shared" si="21"/>
        <v>0</v>
      </c>
      <c r="J47" s="200" t="str">
        <f>IF(controle_formulario!$C$39=1,controle_formulario!$C$37,controle_formulario!$C$38)</f>
        <v>Epidemiologico Beneficiarios Saude Suplementar</v>
      </c>
      <c r="K47" s="197" t="s">
        <v>171</v>
      </c>
      <c r="L47" s="197">
        <f t="shared" si="20"/>
        <v>0</v>
      </c>
      <c r="M47" s="201">
        <f t="shared" si="22"/>
        <v>0</v>
      </c>
      <c r="N47" s="201">
        <f t="shared" si="22"/>
        <v>0</v>
      </c>
      <c r="O47" s="197" t="s">
        <v>158</v>
      </c>
      <c r="P47" s="197" t="str">
        <f t="shared" si="19"/>
        <v>Sem pirtobrutinibe</v>
      </c>
      <c r="Q47" s="202">
        <f>'Market Share'!H13</f>
        <v>0</v>
      </c>
      <c r="R47" s="203">
        <f t="shared" ca="1" si="23"/>
        <v>0</v>
      </c>
      <c r="S47" s="204">
        <f t="shared" si="23"/>
        <v>0</v>
      </c>
    </row>
    <row r="48" spans="1:19" x14ac:dyDescent="0.3">
      <c r="A48" s="198" t="str">
        <f>IF(AND(VALUE(RIGHT(K48,2))&lt;=controle_formulario!$C$10,H48&lt;=Criterios!$C$31+controle_formulario!$I$16-1),"SIM","NÃO")</f>
        <v>NÃO</v>
      </c>
      <c r="B48" s="198">
        <f t="shared" si="2"/>
        <v>0</v>
      </c>
      <c r="C48" s="198" t="str">
        <f t="shared" si="3"/>
        <v>Formrol</v>
      </c>
      <c r="D48" s="179" t="s">
        <v>182</v>
      </c>
      <c r="E48" s="198" t="str">
        <f t="shared" si="4"/>
        <v>Planilha 1</v>
      </c>
      <c r="F48" s="198" t="str">
        <f t="shared" si="5"/>
        <v>Geral</v>
      </c>
      <c r="G48" s="198" t="s">
        <v>24</v>
      </c>
      <c r="H48" s="199">
        <f t="shared" si="21"/>
        <v>2032</v>
      </c>
      <c r="I48" s="200">
        <f t="shared" si="21"/>
        <v>0</v>
      </c>
      <c r="J48" s="200" t="str">
        <f>IF(controle_formulario!$C$39=1,controle_formulario!$C$37,controle_formulario!$C$38)</f>
        <v>Epidemiologico Beneficiarios Saude Suplementar</v>
      </c>
      <c r="K48" s="197" t="s">
        <v>171</v>
      </c>
      <c r="L48" s="197">
        <f t="shared" si="20"/>
        <v>0</v>
      </c>
      <c r="M48" s="201">
        <f t="shared" si="22"/>
        <v>0</v>
      </c>
      <c r="N48" s="201">
        <f t="shared" si="22"/>
        <v>0</v>
      </c>
      <c r="O48" s="197" t="s">
        <v>158</v>
      </c>
      <c r="P48" s="197" t="str">
        <f t="shared" si="19"/>
        <v>Sem pirtobrutinibe</v>
      </c>
      <c r="Q48" s="202">
        <f>'Market Share'!H14</f>
        <v>0</v>
      </c>
      <c r="R48" s="203">
        <f t="shared" ca="1" si="23"/>
        <v>0</v>
      </c>
      <c r="S48" s="204">
        <f t="shared" si="23"/>
        <v>0</v>
      </c>
    </row>
    <row r="49" spans="1:19" x14ac:dyDescent="0.3">
      <c r="A49" s="198" t="str">
        <f>IF(AND(VALUE(RIGHT(K49,2))&lt;=controle_formulario!$C$10,H49&lt;=Criterios!$C$31+controle_formulario!$I$16-1),"SIM","NÃO")</f>
        <v>NÃO</v>
      </c>
      <c r="B49" s="198">
        <f t="shared" si="2"/>
        <v>0</v>
      </c>
      <c r="C49" s="198" t="str">
        <f t="shared" si="3"/>
        <v>Formrol</v>
      </c>
      <c r="D49" s="179" t="s">
        <v>182</v>
      </c>
      <c r="E49" s="198" t="str">
        <f t="shared" si="4"/>
        <v>Planilha 1</v>
      </c>
      <c r="F49" s="198" t="str">
        <f t="shared" si="5"/>
        <v>Geral</v>
      </c>
      <c r="G49" s="198" t="s">
        <v>25</v>
      </c>
      <c r="H49" s="199">
        <f t="shared" si="21"/>
        <v>2033</v>
      </c>
      <c r="I49" s="200">
        <f t="shared" si="21"/>
        <v>0</v>
      </c>
      <c r="J49" s="200" t="str">
        <f>IF(controle_formulario!$C$39=1,controle_formulario!$C$37,controle_formulario!$C$38)</f>
        <v>Epidemiologico Beneficiarios Saude Suplementar</v>
      </c>
      <c r="K49" s="197" t="s">
        <v>171</v>
      </c>
      <c r="L49" s="197">
        <f t="shared" si="20"/>
        <v>0</v>
      </c>
      <c r="M49" s="201">
        <f t="shared" si="22"/>
        <v>0</v>
      </c>
      <c r="N49" s="201">
        <f t="shared" si="22"/>
        <v>0</v>
      </c>
      <c r="O49" s="197" t="s">
        <v>158</v>
      </c>
      <c r="P49" s="197" t="str">
        <f t="shared" si="19"/>
        <v>Sem pirtobrutinibe</v>
      </c>
      <c r="Q49" s="202">
        <f>'Market Share'!H15</f>
        <v>0</v>
      </c>
      <c r="R49" s="203">
        <f t="shared" ca="1" si="23"/>
        <v>0</v>
      </c>
      <c r="S49" s="204">
        <f t="shared" si="23"/>
        <v>0</v>
      </c>
    </row>
    <row r="50" spans="1:19" x14ac:dyDescent="0.3">
      <c r="A50" s="198" t="str">
        <f>IF(AND(VALUE(RIGHT(K50,2))&lt;=controle_formulario!$C$10,H50&lt;=Criterios!$C$31+controle_formulario!$I$16-1),"SIM","NÃO")</f>
        <v>NÃO</v>
      </c>
      <c r="B50" s="198">
        <f t="shared" si="2"/>
        <v>0</v>
      </c>
      <c r="C50" s="198" t="str">
        <f t="shared" si="3"/>
        <v>Formrol</v>
      </c>
      <c r="D50" s="179" t="s">
        <v>182</v>
      </c>
      <c r="E50" s="198" t="str">
        <f t="shared" si="4"/>
        <v>Planilha 1</v>
      </c>
      <c r="F50" s="198" t="str">
        <f t="shared" si="5"/>
        <v>Geral</v>
      </c>
      <c r="G50" s="198" t="s">
        <v>26</v>
      </c>
      <c r="H50" s="199">
        <f t="shared" si="21"/>
        <v>2034</v>
      </c>
      <c r="I50" s="200">
        <f t="shared" si="21"/>
        <v>0</v>
      </c>
      <c r="J50" s="200" t="str">
        <f>IF(controle_formulario!$C$39=1,controle_formulario!$C$37,controle_formulario!$C$38)</f>
        <v>Epidemiologico Beneficiarios Saude Suplementar</v>
      </c>
      <c r="K50" s="197" t="s">
        <v>171</v>
      </c>
      <c r="L50" s="197">
        <f t="shared" si="20"/>
        <v>0</v>
      </c>
      <c r="M50" s="201">
        <f t="shared" si="22"/>
        <v>0</v>
      </c>
      <c r="N50" s="201">
        <f t="shared" si="22"/>
        <v>0</v>
      </c>
      <c r="O50" s="197" t="s">
        <v>158</v>
      </c>
      <c r="P50" s="197" t="str">
        <f t="shared" si="19"/>
        <v>Sem pirtobrutinibe</v>
      </c>
      <c r="Q50" s="202">
        <f>'Market Share'!H16</f>
        <v>0</v>
      </c>
      <c r="R50" s="203">
        <f t="shared" ca="1" si="23"/>
        <v>0</v>
      </c>
      <c r="S50" s="204">
        <f t="shared" si="23"/>
        <v>0</v>
      </c>
    </row>
    <row r="51" spans="1:19" ht="15" thickBot="1" x14ac:dyDescent="0.35">
      <c r="A51" s="205" t="str">
        <f>IF(AND(VALUE(RIGHT(K51,2))&lt;=controle_formulario!$C$10,H51&lt;=Criterios!$C$31+controle_formulario!$I$16-1),"SIM","NÃO")</f>
        <v>NÃO</v>
      </c>
      <c r="B51" s="205">
        <f t="shared" si="2"/>
        <v>0</v>
      </c>
      <c r="C51" s="205" t="str">
        <f t="shared" si="3"/>
        <v>Formrol</v>
      </c>
      <c r="D51" s="180" t="s">
        <v>182</v>
      </c>
      <c r="E51" s="205" t="str">
        <f t="shared" si="4"/>
        <v>Planilha 1</v>
      </c>
      <c r="F51" s="205" t="str">
        <f t="shared" si="5"/>
        <v>Geral</v>
      </c>
      <c r="G51" s="205" t="s">
        <v>27</v>
      </c>
      <c r="H51" s="212">
        <f t="shared" si="21"/>
        <v>2035</v>
      </c>
      <c r="I51" s="213">
        <f t="shared" si="21"/>
        <v>0</v>
      </c>
      <c r="J51" s="213" t="str">
        <f>IF(controle_formulario!$C$39=1,controle_formulario!$C$37,controle_formulario!$C$38)</f>
        <v>Epidemiologico Beneficiarios Saude Suplementar</v>
      </c>
      <c r="K51" s="214" t="s">
        <v>171</v>
      </c>
      <c r="L51" s="214">
        <f t="shared" si="20"/>
        <v>0</v>
      </c>
      <c r="M51" s="201">
        <f t="shared" si="22"/>
        <v>0</v>
      </c>
      <c r="N51" s="201">
        <f t="shared" si="22"/>
        <v>0</v>
      </c>
      <c r="O51" s="214" t="s">
        <v>158</v>
      </c>
      <c r="P51" s="214" t="str">
        <f t="shared" si="19"/>
        <v>Sem pirtobrutinibe</v>
      </c>
      <c r="Q51" s="215">
        <f>'Market Share'!H17</f>
        <v>0</v>
      </c>
      <c r="R51" s="216">
        <f t="shared" ca="1" si="23"/>
        <v>0</v>
      </c>
      <c r="S51" s="217">
        <f t="shared" si="23"/>
        <v>0</v>
      </c>
    </row>
    <row r="52" spans="1:19" x14ac:dyDescent="0.3">
      <c r="A52" s="189" t="str">
        <f>IF(AND(VALUE(RIGHT(O52,2))&lt;=controle_formulario!$E$16,H52&lt;=Criterios!$C$31+controle_formulario!$I$16-1),"SIM","NÃO")</f>
        <v>SIM</v>
      </c>
      <c r="B52" s="189">
        <f t="shared" si="2"/>
        <v>0</v>
      </c>
      <c r="C52" s="189" t="str">
        <f t="shared" si="3"/>
        <v>Formrol</v>
      </c>
      <c r="D52" s="177"/>
      <c r="E52" s="189" t="str">
        <f t="shared" si="4"/>
        <v>Planilha 1</v>
      </c>
      <c r="F52" s="189" t="str">
        <f t="shared" si="5"/>
        <v>Geral</v>
      </c>
      <c r="G52" s="189" t="s">
        <v>18</v>
      </c>
      <c r="H52" s="190">
        <f>H42</f>
        <v>2026</v>
      </c>
      <c r="I52" s="191">
        <f ca="1">I42</f>
        <v>35.902021176061034</v>
      </c>
      <c r="J52" s="191" t="str">
        <f>IF(controle_formulario!$C$39=1,controle_formulario!$C$37,controle_formulario!$C$38)</f>
        <v>Epidemiologico Beneficiarios Saude Suplementar</v>
      </c>
      <c r="K52" s="192" t="s">
        <v>157</v>
      </c>
      <c r="L52" s="192" t="str">
        <f t="shared" ref="L52:L61" si="24">trat.novo</f>
        <v>Pirtobrutinibe</v>
      </c>
      <c r="M52" s="193">
        <f>Resumo!$D$38</f>
        <v>470468.67999999976</v>
      </c>
      <c r="N52" s="193">
        <f>Resumo!$D$47</f>
        <v>0</v>
      </c>
      <c r="O52" s="192" t="s">
        <v>172</v>
      </c>
      <c r="P52" s="192" t="str">
        <f t="shared" ref="P52:P83" si="25">cen.alt1</f>
        <v>Incorporação progressiva- pirtobrutinibe</v>
      </c>
      <c r="Q52" s="194">
        <f>'Market Share'!L8</f>
        <v>0.7</v>
      </c>
      <c r="R52" s="195">
        <f ca="1">Resumo!E56</f>
        <v>13193725.037933065</v>
      </c>
      <c r="S52" s="196">
        <f ca="1">Resumo!E72</f>
        <v>9083180.5994041599</v>
      </c>
    </row>
    <row r="53" spans="1:19" x14ac:dyDescent="0.3">
      <c r="A53" s="198" t="str">
        <f>IF(AND(VALUE(RIGHT(O53,2))&lt;=controle_formulario!$E$16,H53&lt;=Criterios!$C$31+controle_formulario!$I$16-1),"SIM","NÃO")</f>
        <v>SIM</v>
      </c>
      <c r="B53" s="198">
        <f t="shared" si="2"/>
        <v>0</v>
      </c>
      <c r="C53" s="198" t="str">
        <f t="shared" si="3"/>
        <v>Formrol</v>
      </c>
      <c r="D53" s="179"/>
      <c r="E53" s="198" t="str">
        <f t="shared" si="4"/>
        <v>Planilha 1</v>
      </c>
      <c r="F53" s="198" t="str">
        <f t="shared" si="5"/>
        <v>Geral</v>
      </c>
      <c r="G53" s="198" t="s">
        <v>19</v>
      </c>
      <c r="H53" s="199">
        <f t="shared" ref="H53:I61" si="26">H43</f>
        <v>2027</v>
      </c>
      <c r="I53" s="200">
        <f t="shared" ca="1" si="26"/>
        <v>36.027114594978322</v>
      </c>
      <c r="J53" s="200" t="str">
        <f>IF(controle_formulario!$C$39=1,controle_formulario!$C$37,controle_formulario!$C$38)</f>
        <v>Epidemiologico Beneficiarios Saude Suplementar</v>
      </c>
      <c r="K53" s="197" t="s">
        <v>157</v>
      </c>
      <c r="L53" s="197" t="str">
        <f t="shared" si="24"/>
        <v>Pirtobrutinibe</v>
      </c>
      <c r="M53" s="201">
        <f>M52</f>
        <v>470468.67999999976</v>
      </c>
      <c r="N53" s="201">
        <f>N52</f>
        <v>0</v>
      </c>
      <c r="O53" s="197" t="s">
        <v>172</v>
      </c>
      <c r="P53" s="197" t="str">
        <f t="shared" si="25"/>
        <v>Incorporação progressiva- pirtobrutinibe</v>
      </c>
      <c r="Q53" s="202">
        <f>'Market Share'!L9</f>
        <v>0.75</v>
      </c>
      <c r="R53" s="203">
        <f ca="1">Resumo!E57</f>
        <v>13858018.121687833</v>
      </c>
      <c r="S53" s="204">
        <f ca="1">Resumo!E73</f>
        <v>9733151.3124237154</v>
      </c>
    </row>
    <row r="54" spans="1:19" x14ac:dyDescent="0.3">
      <c r="A54" s="198" t="str">
        <f>IF(AND(VALUE(RIGHT(O54,2))&lt;=controle_formulario!$E$16,H54&lt;=Criterios!$C$31+controle_formulario!$I$16-1),"SIM","NÃO")</f>
        <v>SIM</v>
      </c>
      <c r="B54" s="198">
        <f t="shared" si="2"/>
        <v>0</v>
      </c>
      <c r="C54" s="198" t="str">
        <f t="shared" si="3"/>
        <v>Formrol</v>
      </c>
      <c r="D54" s="179"/>
      <c r="E54" s="198" t="str">
        <f t="shared" si="4"/>
        <v>Planilha 1</v>
      </c>
      <c r="F54" s="198" t="str">
        <f t="shared" si="5"/>
        <v>Geral</v>
      </c>
      <c r="G54" s="198" t="s">
        <v>20</v>
      </c>
      <c r="H54" s="199">
        <f t="shared" si="26"/>
        <v>2028</v>
      </c>
      <c r="I54" s="200">
        <f t="shared" ca="1" si="26"/>
        <v>36.142742272880319</v>
      </c>
      <c r="J54" s="200" t="str">
        <f>IF(controle_formulario!$C$39=1,controle_formulario!$C$37,controle_formulario!$C$38)</f>
        <v>Epidemiologico Beneficiarios Saude Suplementar</v>
      </c>
      <c r="K54" s="197" t="s">
        <v>157</v>
      </c>
      <c r="L54" s="197" t="str">
        <f t="shared" si="24"/>
        <v>Pirtobrutinibe</v>
      </c>
      <c r="M54" s="201">
        <f t="shared" ref="M54:N61" si="27">M53</f>
        <v>470468.67999999976</v>
      </c>
      <c r="N54" s="201">
        <f t="shared" si="27"/>
        <v>0</v>
      </c>
      <c r="O54" s="197" t="s">
        <v>172</v>
      </c>
      <c r="P54" s="197" t="str">
        <f t="shared" si="25"/>
        <v>Incorporação progressiva- pirtobrutinibe</v>
      </c>
      <c r="Q54" s="202">
        <f>'Market Share'!L10</f>
        <v>0.8</v>
      </c>
      <c r="R54" s="203">
        <f ca="1">Resumo!E58</f>
        <v>14522801.580103004</v>
      </c>
      <c r="S54" s="204">
        <f ca="1">Resumo!E74</f>
        <v>10384696.164967388</v>
      </c>
    </row>
    <row r="55" spans="1:19" x14ac:dyDescent="0.3">
      <c r="A55" s="198" t="str">
        <f>IF(AND(VALUE(RIGHT(O55,2))&lt;=controle_formulario!$E$16,H55&lt;=Criterios!$C$31+controle_formulario!$I$16-1),"SIM","NÃO")</f>
        <v>SIM</v>
      </c>
      <c r="B55" s="198">
        <f t="shared" si="2"/>
        <v>0</v>
      </c>
      <c r="C55" s="198" t="str">
        <f t="shared" si="3"/>
        <v>Formrol</v>
      </c>
      <c r="D55" s="179"/>
      <c r="E55" s="198" t="str">
        <f t="shared" si="4"/>
        <v>Planilha 1</v>
      </c>
      <c r="F55" s="198" t="str">
        <f t="shared" si="5"/>
        <v>Geral</v>
      </c>
      <c r="G55" s="198" t="s">
        <v>21</v>
      </c>
      <c r="H55" s="199">
        <f t="shared" si="26"/>
        <v>2029</v>
      </c>
      <c r="I55" s="200">
        <f t="shared" ca="1" si="26"/>
        <v>36.250027878529522</v>
      </c>
      <c r="J55" s="200" t="str">
        <f>IF(controle_formulario!$C$39=1,controle_formulario!$C$37,controle_formulario!$C$38)</f>
        <v>Epidemiologico Beneficiarios Saude Suplementar</v>
      </c>
      <c r="K55" s="197" t="s">
        <v>157</v>
      </c>
      <c r="L55" s="197" t="str">
        <f t="shared" si="24"/>
        <v>Pirtobrutinibe</v>
      </c>
      <c r="M55" s="201">
        <f t="shared" si="27"/>
        <v>470468.67999999976</v>
      </c>
      <c r="N55" s="201">
        <f t="shared" si="27"/>
        <v>0</v>
      </c>
      <c r="O55" s="197" t="s">
        <v>172</v>
      </c>
      <c r="P55" s="197" t="str">
        <f t="shared" si="25"/>
        <v>Incorporação progressiva- pirtobrutinibe</v>
      </c>
      <c r="Q55" s="202">
        <f>'Market Share'!L11</f>
        <v>0.85</v>
      </c>
      <c r="R55" s="203">
        <f ca="1">Resumo!E59</f>
        <v>15188058.83587864</v>
      </c>
      <c r="S55" s="204">
        <f ca="1">Resumo!E75</f>
        <v>11037669.927079175</v>
      </c>
    </row>
    <row r="56" spans="1:19" x14ac:dyDescent="0.3">
      <c r="A56" s="198" t="str">
        <f>IF(AND(VALUE(RIGHT(O56,2))&lt;=controle_formulario!$E$16,H56&lt;=Criterios!$C$31+controle_formulario!$I$16-1),"SIM","NÃO")</f>
        <v>SIM</v>
      </c>
      <c r="B56" s="198">
        <f t="shared" si="2"/>
        <v>0</v>
      </c>
      <c r="C56" s="198" t="str">
        <f t="shared" si="3"/>
        <v>Formrol</v>
      </c>
      <c r="D56" s="179"/>
      <c r="E56" s="198" t="str">
        <f t="shared" si="4"/>
        <v>Planilha 1</v>
      </c>
      <c r="F56" s="198" t="str">
        <f t="shared" si="5"/>
        <v>Geral</v>
      </c>
      <c r="G56" s="198" t="s">
        <v>22</v>
      </c>
      <c r="H56" s="199">
        <f t="shared" si="26"/>
        <v>2030</v>
      </c>
      <c r="I56" s="200">
        <f t="shared" ca="1" si="26"/>
        <v>36.350592396534239</v>
      </c>
      <c r="J56" s="200" t="str">
        <f>IF(controle_formulario!$C$39=1,controle_formulario!$C$37,controle_formulario!$C$38)</f>
        <v>Epidemiologico Beneficiarios Saude Suplementar</v>
      </c>
      <c r="K56" s="197" t="s">
        <v>157</v>
      </c>
      <c r="L56" s="197" t="str">
        <f t="shared" si="24"/>
        <v>Pirtobrutinibe</v>
      </c>
      <c r="M56" s="201">
        <f t="shared" si="27"/>
        <v>470468.67999999976</v>
      </c>
      <c r="N56" s="201">
        <f t="shared" si="27"/>
        <v>0</v>
      </c>
      <c r="O56" s="197" t="s">
        <v>172</v>
      </c>
      <c r="P56" s="197" t="str">
        <f t="shared" si="25"/>
        <v>Incorporação progressiva- pirtobrutinibe</v>
      </c>
      <c r="Q56" s="202">
        <f>'Market Share'!L12</f>
        <v>0.9</v>
      </c>
      <c r="R56" s="203">
        <f ca="1">Resumo!E60</f>
        <v>15854067.353402093</v>
      </c>
      <c r="S56" s="204">
        <f ca="1">Resumo!E76</f>
        <v>11692164.471108755</v>
      </c>
    </row>
    <row r="57" spans="1:19" x14ac:dyDescent="0.3">
      <c r="A57" s="198" t="str">
        <f>IF(AND(VALUE(RIGHT(O57,2))&lt;=controle_formulario!$E$16,H57&lt;=Criterios!$C$31+controle_formulario!$I$16-1),"SIM","NÃO")</f>
        <v>NÃO</v>
      </c>
      <c r="B57" s="198">
        <f t="shared" si="2"/>
        <v>0</v>
      </c>
      <c r="C57" s="198" t="str">
        <f t="shared" si="3"/>
        <v>Formrol</v>
      </c>
      <c r="D57" s="179"/>
      <c r="E57" s="198" t="str">
        <f t="shared" si="4"/>
        <v>Planilha 1</v>
      </c>
      <c r="F57" s="198" t="str">
        <f t="shared" si="5"/>
        <v>Geral</v>
      </c>
      <c r="G57" s="198" t="s">
        <v>23</v>
      </c>
      <c r="H57" s="199">
        <f t="shared" si="26"/>
        <v>2031</v>
      </c>
      <c r="I57" s="200">
        <f t="shared" si="26"/>
        <v>0</v>
      </c>
      <c r="J57" s="200" t="str">
        <f>IF(controle_formulario!$C$39=1,controle_formulario!$C$37,controle_formulario!$C$38)</f>
        <v>Epidemiologico Beneficiarios Saude Suplementar</v>
      </c>
      <c r="K57" s="197" t="s">
        <v>157</v>
      </c>
      <c r="L57" s="197" t="str">
        <f t="shared" si="24"/>
        <v>Pirtobrutinibe</v>
      </c>
      <c r="M57" s="201">
        <f t="shared" si="27"/>
        <v>470468.67999999976</v>
      </c>
      <c r="N57" s="201">
        <f t="shared" si="27"/>
        <v>0</v>
      </c>
      <c r="O57" s="197" t="s">
        <v>172</v>
      </c>
      <c r="P57" s="197" t="str">
        <f t="shared" si="25"/>
        <v>Incorporação progressiva- pirtobrutinibe</v>
      </c>
      <c r="Q57" s="202">
        <f>'Market Share'!L13</f>
        <v>0</v>
      </c>
      <c r="R57" s="203">
        <f ca="1">Resumo!E61</f>
        <v>0</v>
      </c>
      <c r="S57" s="204">
        <f ca="1">Resumo!E77</f>
        <v>0</v>
      </c>
    </row>
    <row r="58" spans="1:19" x14ac:dyDescent="0.3">
      <c r="A58" s="198" t="str">
        <f>IF(AND(VALUE(RIGHT(O58,2))&lt;=controle_formulario!$E$16,H58&lt;=Criterios!$C$31+controle_formulario!$I$16-1),"SIM","NÃO")</f>
        <v>NÃO</v>
      </c>
      <c r="B58" s="198">
        <f t="shared" si="2"/>
        <v>0</v>
      </c>
      <c r="C58" s="198" t="str">
        <f t="shared" si="3"/>
        <v>Formrol</v>
      </c>
      <c r="D58" s="179"/>
      <c r="E58" s="198" t="str">
        <f t="shared" si="4"/>
        <v>Planilha 1</v>
      </c>
      <c r="F58" s="198" t="str">
        <f t="shared" si="5"/>
        <v>Geral</v>
      </c>
      <c r="G58" s="198" t="s">
        <v>24</v>
      </c>
      <c r="H58" s="199">
        <f t="shared" si="26"/>
        <v>2032</v>
      </c>
      <c r="I58" s="200">
        <f t="shared" si="26"/>
        <v>0</v>
      </c>
      <c r="J58" s="200" t="str">
        <f>IF(controle_formulario!$C$39=1,controle_formulario!$C$37,controle_formulario!$C$38)</f>
        <v>Epidemiologico Beneficiarios Saude Suplementar</v>
      </c>
      <c r="K58" s="197" t="s">
        <v>157</v>
      </c>
      <c r="L58" s="197" t="str">
        <f t="shared" si="24"/>
        <v>Pirtobrutinibe</v>
      </c>
      <c r="M58" s="201">
        <f t="shared" si="27"/>
        <v>470468.67999999976</v>
      </c>
      <c r="N58" s="201">
        <f t="shared" si="27"/>
        <v>0</v>
      </c>
      <c r="O58" s="197" t="s">
        <v>172</v>
      </c>
      <c r="P58" s="197" t="str">
        <f t="shared" si="25"/>
        <v>Incorporação progressiva- pirtobrutinibe</v>
      </c>
      <c r="Q58" s="202">
        <f>'Market Share'!L14</f>
        <v>0</v>
      </c>
      <c r="R58" s="203">
        <f ca="1">Resumo!E62</f>
        <v>0</v>
      </c>
      <c r="S58" s="204">
        <f ca="1">Resumo!E78</f>
        <v>0</v>
      </c>
    </row>
    <row r="59" spans="1:19" x14ac:dyDescent="0.3">
      <c r="A59" s="198" t="str">
        <f>IF(AND(VALUE(RIGHT(O59,2))&lt;=controle_formulario!$E$16,H59&lt;=Criterios!$C$31+controle_formulario!$I$16-1),"SIM","NÃO")</f>
        <v>NÃO</v>
      </c>
      <c r="B59" s="198">
        <f t="shared" si="2"/>
        <v>0</v>
      </c>
      <c r="C59" s="198" t="str">
        <f t="shared" si="3"/>
        <v>Formrol</v>
      </c>
      <c r="D59" s="179"/>
      <c r="E59" s="198" t="str">
        <f t="shared" si="4"/>
        <v>Planilha 1</v>
      </c>
      <c r="F59" s="198" t="str">
        <f t="shared" si="5"/>
        <v>Geral</v>
      </c>
      <c r="G59" s="198" t="s">
        <v>25</v>
      </c>
      <c r="H59" s="199">
        <f t="shared" si="26"/>
        <v>2033</v>
      </c>
      <c r="I59" s="200">
        <f t="shared" si="26"/>
        <v>0</v>
      </c>
      <c r="J59" s="200" t="str">
        <f>IF(controle_formulario!$C$39=1,controle_formulario!$C$37,controle_formulario!$C$38)</f>
        <v>Epidemiologico Beneficiarios Saude Suplementar</v>
      </c>
      <c r="K59" s="197" t="s">
        <v>157</v>
      </c>
      <c r="L59" s="197" t="str">
        <f t="shared" si="24"/>
        <v>Pirtobrutinibe</v>
      </c>
      <c r="M59" s="201">
        <f t="shared" si="27"/>
        <v>470468.67999999976</v>
      </c>
      <c r="N59" s="201">
        <f t="shared" si="27"/>
        <v>0</v>
      </c>
      <c r="O59" s="197" t="s">
        <v>172</v>
      </c>
      <c r="P59" s="197" t="str">
        <f t="shared" si="25"/>
        <v>Incorporação progressiva- pirtobrutinibe</v>
      </c>
      <c r="Q59" s="202">
        <f>'Market Share'!L15</f>
        <v>0</v>
      </c>
      <c r="R59" s="203">
        <f ca="1">Resumo!E63</f>
        <v>0</v>
      </c>
      <c r="S59" s="204">
        <f ca="1">Resumo!E79</f>
        <v>0</v>
      </c>
    </row>
    <row r="60" spans="1:19" x14ac:dyDescent="0.3">
      <c r="A60" s="198" t="str">
        <f>IF(AND(VALUE(RIGHT(O60,2))&lt;=controle_formulario!$E$16,H60&lt;=Criterios!$C$31+controle_formulario!$I$16-1),"SIM","NÃO")</f>
        <v>NÃO</v>
      </c>
      <c r="B60" s="198">
        <f t="shared" si="2"/>
        <v>0</v>
      </c>
      <c r="C60" s="198" t="str">
        <f t="shared" si="3"/>
        <v>Formrol</v>
      </c>
      <c r="D60" s="179"/>
      <c r="E60" s="198" t="str">
        <f t="shared" si="4"/>
        <v>Planilha 1</v>
      </c>
      <c r="F60" s="198" t="str">
        <f t="shared" si="5"/>
        <v>Geral</v>
      </c>
      <c r="G60" s="198" t="s">
        <v>26</v>
      </c>
      <c r="H60" s="199">
        <f t="shared" si="26"/>
        <v>2034</v>
      </c>
      <c r="I60" s="200">
        <f t="shared" si="26"/>
        <v>0</v>
      </c>
      <c r="J60" s="200" t="str">
        <f>IF(controle_formulario!$C$39=1,controle_formulario!$C$37,controle_formulario!$C$38)</f>
        <v>Epidemiologico Beneficiarios Saude Suplementar</v>
      </c>
      <c r="K60" s="197" t="s">
        <v>157</v>
      </c>
      <c r="L60" s="197" t="str">
        <f t="shared" si="24"/>
        <v>Pirtobrutinibe</v>
      </c>
      <c r="M60" s="201">
        <f t="shared" si="27"/>
        <v>470468.67999999976</v>
      </c>
      <c r="N60" s="201">
        <f t="shared" si="27"/>
        <v>0</v>
      </c>
      <c r="O60" s="197" t="s">
        <v>172</v>
      </c>
      <c r="P60" s="197" t="str">
        <f t="shared" si="25"/>
        <v>Incorporação progressiva- pirtobrutinibe</v>
      </c>
      <c r="Q60" s="202">
        <f>'Market Share'!L16</f>
        <v>0</v>
      </c>
      <c r="R60" s="203">
        <f ca="1">Resumo!E64</f>
        <v>0</v>
      </c>
      <c r="S60" s="204">
        <f ca="1">Resumo!E80</f>
        <v>0</v>
      </c>
    </row>
    <row r="61" spans="1:19" ht="15" thickBot="1" x14ac:dyDescent="0.35">
      <c r="A61" s="205" t="str">
        <f>IF(AND(VALUE(RIGHT(O61,2))&lt;=controle_formulario!$E$16,H61&lt;=Criterios!$C$31+controle_formulario!$I$16-1),"SIM","NÃO")</f>
        <v>NÃO</v>
      </c>
      <c r="B61" s="205">
        <f t="shared" si="2"/>
        <v>0</v>
      </c>
      <c r="C61" s="205" t="str">
        <f t="shared" si="3"/>
        <v>Formrol</v>
      </c>
      <c r="D61" s="180"/>
      <c r="E61" s="205" t="str">
        <f t="shared" si="4"/>
        <v>Planilha 1</v>
      </c>
      <c r="F61" s="205" t="str">
        <f t="shared" si="5"/>
        <v>Geral</v>
      </c>
      <c r="G61" s="205" t="s">
        <v>27</v>
      </c>
      <c r="H61" s="212">
        <f t="shared" si="26"/>
        <v>2035</v>
      </c>
      <c r="I61" s="213">
        <f t="shared" si="26"/>
        <v>0</v>
      </c>
      <c r="J61" s="207" t="str">
        <f>IF(controle_formulario!$C$39=1,controle_formulario!$C$37,controle_formulario!$C$38)</f>
        <v>Epidemiologico Beneficiarios Saude Suplementar</v>
      </c>
      <c r="K61" s="208" t="s">
        <v>157</v>
      </c>
      <c r="L61" s="208" t="str">
        <f t="shared" si="24"/>
        <v>Pirtobrutinibe</v>
      </c>
      <c r="M61" s="201">
        <f t="shared" si="27"/>
        <v>470468.67999999976</v>
      </c>
      <c r="N61" s="201">
        <f t="shared" si="27"/>
        <v>0</v>
      </c>
      <c r="O61" s="214" t="s">
        <v>172</v>
      </c>
      <c r="P61" s="214" t="str">
        <f t="shared" si="25"/>
        <v>Incorporação progressiva- pirtobrutinibe</v>
      </c>
      <c r="Q61" s="215">
        <f>'Market Share'!L17</f>
        <v>0</v>
      </c>
      <c r="R61" s="216">
        <f ca="1">Resumo!E65</f>
        <v>0</v>
      </c>
      <c r="S61" s="217">
        <f ca="1">Resumo!E81</f>
        <v>0</v>
      </c>
    </row>
    <row r="62" spans="1:19" x14ac:dyDescent="0.3">
      <c r="A62" s="189" t="str">
        <f>IF(AND(VALUE(RIGHT(O62,2))&lt;=controle_formulario!$E$16,VALUE(RIGHT(K62,2))&lt;=controle_formulario!$C$10,H62&lt;=Criterios!$C$31+controle_formulario!$I$16-1),"SIM","NÃO")</f>
        <v>SIM</v>
      </c>
      <c r="B62" s="189">
        <f t="shared" si="2"/>
        <v>0</v>
      </c>
      <c r="C62" s="189" t="str">
        <f t="shared" si="3"/>
        <v>Formrol</v>
      </c>
      <c r="D62" s="177"/>
      <c r="E62" s="189" t="str">
        <f t="shared" si="4"/>
        <v>Planilha 1</v>
      </c>
      <c r="F62" s="189" t="str">
        <f t="shared" si="5"/>
        <v>Geral</v>
      </c>
      <c r="G62" s="189" t="s">
        <v>18</v>
      </c>
      <c r="H62" s="190">
        <f>H52</f>
        <v>2026</v>
      </c>
      <c r="I62" s="191">
        <f ca="1">I52</f>
        <v>35.902021176061034</v>
      </c>
      <c r="J62" s="191" t="str">
        <f>IF(controle_formulario!$C$39=1,controle_formulario!$C$37,controle_formulario!$C$38)</f>
        <v>Epidemiologico Beneficiarios Saude Suplementar</v>
      </c>
      <c r="K62" s="192" t="s">
        <v>168</v>
      </c>
      <c r="L62" s="192" t="str">
        <f t="shared" ref="L62:L71" si="28">trat.a</f>
        <v xml:space="preserve"> Conjunto de Tratamentos-Padrão</v>
      </c>
      <c r="M62" s="193" t="e">
        <f>Resumo!$D$39</f>
        <v>#REF!</v>
      </c>
      <c r="N62" s="193">
        <f>Resumo!$D$48</f>
        <v>0</v>
      </c>
      <c r="O62" s="192" t="s">
        <v>172</v>
      </c>
      <c r="P62" s="192" t="str">
        <f t="shared" si="25"/>
        <v>Incorporação progressiva- pirtobrutinibe</v>
      </c>
      <c r="Q62" s="194">
        <f>'Market Share'!M8</f>
        <v>0.3</v>
      </c>
      <c r="R62" s="195">
        <f ca="1">R52</f>
        <v>13193725.037933065</v>
      </c>
      <c r="S62" s="196">
        <f ca="1">S52</f>
        <v>9083180.5994041599</v>
      </c>
    </row>
    <row r="63" spans="1:19" x14ac:dyDescent="0.3">
      <c r="A63" s="198" t="str">
        <f>IF(AND(VALUE(RIGHT(O63,2))&lt;=controle_formulario!$E$16,VALUE(RIGHT(K63,2))&lt;=controle_formulario!$C$10,H63&lt;=Criterios!$C$31+controle_formulario!$I$16-1),"SIM","NÃO")</f>
        <v>SIM</v>
      </c>
      <c r="B63" s="198">
        <f t="shared" si="2"/>
        <v>0</v>
      </c>
      <c r="C63" s="198" t="str">
        <f t="shared" si="3"/>
        <v>Formrol</v>
      </c>
      <c r="D63" s="179"/>
      <c r="E63" s="198" t="str">
        <f t="shared" si="4"/>
        <v>Planilha 1</v>
      </c>
      <c r="F63" s="198" t="str">
        <f t="shared" si="5"/>
        <v>Geral</v>
      </c>
      <c r="G63" s="198" t="s">
        <v>19</v>
      </c>
      <c r="H63" s="199">
        <f t="shared" ref="H63:I71" si="29">H53</f>
        <v>2027</v>
      </c>
      <c r="I63" s="200">
        <f t="shared" ca="1" si="29"/>
        <v>36.027114594978322</v>
      </c>
      <c r="J63" s="200" t="str">
        <f>IF(controle_formulario!$C$39=1,controle_formulario!$C$37,controle_formulario!$C$38)</f>
        <v>Epidemiologico Beneficiarios Saude Suplementar</v>
      </c>
      <c r="K63" s="197" t="s">
        <v>168</v>
      </c>
      <c r="L63" s="197" t="str">
        <f t="shared" si="28"/>
        <v xml:space="preserve"> Conjunto de Tratamentos-Padrão</v>
      </c>
      <c r="M63" s="201" t="e">
        <f>M62</f>
        <v>#REF!</v>
      </c>
      <c r="N63" s="201">
        <f>N62</f>
        <v>0</v>
      </c>
      <c r="O63" s="197" t="s">
        <v>172</v>
      </c>
      <c r="P63" s="197" t="str">
        <f t="shared" si="25"/>
        <v>Incorporação progressiva- pirtobrutinibe</v>
      </c>
      <c r="Q63" s="202">
        <f>'Market Share'!M9</f>
        <v>0.25</v>
      </c>
      <c r="R63" s="203">
        <f t="shared" ref="R63:S78" ca="1" si="30">R53</f>
        <v>13858018.121687833</v>
      </c>
      <c r="S63" s="204">
        <f t="shared" ca="1" si="30"/>
        <v>9733151.3124237154</v>
      </c>
    </row>
    <row r="64" spans="1:19" x14ac:dyDescent="0.3">
      <c r="A64" s="198" t="str">
        <f>IF(AND(VALUE(RIGHT(O64,2))&lt;=controle_formulario!$E$16,VALUE(RIGHT(K64,2))&lt;=controle_formulario!$C$10,H64&lt;=Criterios!$C$31+controle_formulario!$I$16-1),"SIM","NÃO")</f>
        <v>SIM</v>
      </c>
      <c r="B64" s="198">
        <f t="shared" si="2"/>
        <v>0</v>
      </c>
      <c r="C64" s="198" t="str">
        <f t="shared" si="3"/>
        <v>Formrol</v>
      </c>
      <c r="D64" s="179"/>
      <c r="E64" s="198" t="str">
        <f t="shared" si="4"/>
        <v>Planilha 1</v>
      </c>
      <c r="F64" s="198" t="str">
        <f t="shared" si="5"/>
        <v>Geral</v>
      </c>
      <c r="G64" s="198" t="s">
        <v>20</v>
      </c>
      <c r="H64" s="199">
        <f t="shared" si="29"/>
        <v>2028</v>
      </c>
      <c r="I64" s="200">
        <f t="shared" ca="1" si="29"/>
        <v>36.142742272880319</v>
      </c>
      <c r="J64" s="200" t="str">
        <f>IF(controle_formulario!$C$39=1,controle_formulario!$C$37,controle_formulario!$C$38)</f>
        <v>Epidemiologico Beneficiarios Saude Suplementar</v>
      </c>
      <c r="K64" s="197" t="s">
        <v>168</v>
      </c>
      <c r="L64" s="197" t="str">
        <f t="shared" si="28"/>
        <v xml:space="preserve"> Conjunto de Tratamentos-Padrão</v>
      </c>
      <c r="M64" s="201" t="e">
        <f t="shared" ref="M64:N71" si="31">M63</f>
        <v>#REF!</v>
      </c>
      <c r="N64" s="201">
        <f t="shared" si="31"/>
        <v>0</v>
      </c>
      <c r="O64" s="197" t="s">
        <v>172</v>
      </c>
      <c r="P64" s="197" t="str">
        <f t="shared" si="25"/>
        <v>Incorporação progressiva- pirtobrutinibe</v>
      </c>
      <c r="Q64" s="202">
        <f>'Market Share'!M10</f>
        <v>0.2</v>
      </c>
      <c r="R64" s="203">
        <f t="shared" ca="1" si="30"/>
        <v>14522801.580103004</v>
      </c>
      <c r="S64" s="204">
        <f t="shared" ca="1" si="30"/>
        <v>10384696.164967388</v>
      </c>
    </row>
    <row r="65" spans="1:19" x14ac:dyDescent="0.3">
      <c r="A65" s="198" t="str">
        <f>IF(AND(VALUE(RIGHT(O65,2))&lt;=controle_formulario!$E$16,VALUE(RIGHT(K65,2))&lt;=controle_formulario!$C$10,H65&lt;=Criterios!$C$31+controle_formulario!$I$16-1),"SIM","NÃO")</f>
        <v>SIM</v>
      </c>
      <c r="B65" s="198">
        <f t="shared" si="2"/>
        <v>0</v>
      </c>
      <c r="C65" s="198" t="str">
        <f t="shared" si="3"/>
        <v>Formrol</v>
      </c>
      <c r="D65" s="179"/>
      <c r="E65" s="198" t="str">
        <f t="shared" si="4"/>
        <v>Planilha 1</v>
      </c>
      <c r="F65" s="198" t="str">
        <f t="shared" si="5"/>
        <v>Geral</v>
      </c>
      <c r="G65" s="198" t="s">
        <v>21</v>
      </c>
      <c r="H65" s="199">
        <f t="shared" si="29"/>
        <v>2029</v>
      </c>
      <c r="I65" s="200">
        <f t="shared" ca="1" si="29"/>
        <v>36.250027878529522</v>
      </c>
      <c r="J65" s="200" t="str">
        <f>IF(controle_formulario!$C$39=1,controle_formulario!$C$37,controle_formulario!$C$38)</f>
        <v>Epidemiologico Beneficiarios Saude Suplementar</v>
      </c>
      <c r="K65" s="197" t="s">
        <v>168</v>
      </c>
      <c r="L65" s="197" t="str">
        <f t="shared" si="28"/>
        <v xml:space="preserve"> Conjunto de Tratamentos-Padrão</v>
      </c>
      <c r="M65" s="201" t="e">
        <f t="shared" si="31"/>
        <v>#REF!</v>
      </c>
      <c r="N65" s="201">
        <f t="shared" si="31"/>
        <v>0</v>
      </c>
      <c r="O65" s="197" t="s">
        <v>172</v>
      </c>
      <c r="P65" s="197" t="str">
        <f t="shared" si="25"/>
        <v>Incorporação progressiva- pirtobrutinibe</v>
      </c>
      <c r="Q65" s="202">
        <f>'Market Share'!M11</f>
        <v>0.15</v>
      </c>
      <c r="R65" s="203">
        <f t="shared" ca="1" si="30"/>
        <v>15188058.83587864</v>
      </c>
      <c r="S65" s="204">
        <f t="shared" ca="1" si="30"/>
        <v>11037669.927079175</v>
      </c>
    </row>
    <row r="66" spans="1:19" x14ac:dyDescent="0.3">
      <c r="A66" s="198" t="str">
        <f>IF(AND(VALUE(RIGHT(O66,2))&lt;=controle_formulario!$E$16,VALUE(RIGHT(K66,2))&lt;=controle_formulario!$C$10,H66&lt;=Criterios!$C$31+controle_formulario!$I$16-1),"SIM","NÃO")</f>
        <v>SIM</v>
      </c>
      <c r="B66" s="198">
        <f t="shared" si="2"/>
        <v>0</v>
      </c>
      <c r="C66" s="198" t="str">
        <f t="shared" si="3"/>
        <v>Formrol</v>
      </c>
      <c r="D66" s="179"/>
      <c r="E66" s="198" t="str">
        <f t="shared" si="4"/>
        <v>Planilha 1</v>
      </c>
      <c r="F66" s="198" t="str">
        <f t="shared" si="5"/>
        <v>Geral</v>
      </c>
      <c r="G66" s="198" t="s">
        <v>22</v>
      </c>
      <c r="H66" s="199">
        <f t="shared" si="29"/>
        <v>2030</v>
      </c>
      <c r="I66" s="200">
        <f t="shared" ca="1" si="29"/>
        <v>36.350592396534239</v>
      </c>
      <c r="J66" s="200" t="str">
        <f>IF(controle_formulario!$C$39=1,controle_formulario!$C$37,controle_formulario!$C$38)</f>
        <v>Epidemiologico Beneficiarios Saude Suplementar</v>
      </c>
      <c r="K66" s="197" t="s">
        <v>168</v>
      </c>
      <c r="L66" s="197" t="str">
        <f t="shared" si="28"/>
        <v xml:space="preserve"> Conjunto de Tratamentos-Padrão</v>
      </c>
      <c r="M66" s="201" t="e">
        <f t="shared" si="31"/>
        <v>#REF!</v>
      </c>
      <c r="N66" s="201">
        <f t="shared" si="31"/>
        <v>0</v>
      </c>
      <c r="O66" s="197" t="s">
        <v>172</v>
      </c>
      <c r="P66" s="197" t="str">
        <f t="shared" si="25"/>
        <v>Incorporação progressiva- pirtobrutinibe</v>
      </c>
      <c r="Q66" s="202">
        <f>'Market Share'!M12</f>
        <v>0.1</v>
      </c>
      <c r="R66" s="203">
        <f t="shared" ca="1" si="30"/>
        <v>15854067.353402093</v>
      </c>
      <c r="S66" s="204">
        <f t="shared" ca="1" si="30"/>
        <v>11692164.471108755</v>
      </c>
    </row>
    <row r="67" spans="1:19" x14ac:dyDescent="0.3">
      <c r="A67" s="198" t="str">
        <f>IF(AND(VALUE(RIGHT(O67,2))&lt;=controle_formulario!$E$16,VALUE(RIGHT(K67,2))&lt;=controle_formulario!$C$10,H67&lt;=Criterios!$C$31+controle_formulario!$I$16-1),"SIM","NÃO")</f>
        <v>NÃO</v>
      </c>
      <c r="B67" s="198">
        <f t="shared" ref="B67:B130" si="32">$W$2</f>
        <v>0</v>
      </c>
      <c r="C67" s="198" t="str">
        <f t="shared" ref="C67:C130" si="33">$W$3</f>
        <v>Formrol</v>
      </c>
      <c r="D67" s="179"/>
      <c r="E67" s="198" t="str">
        <f t="shared" ref="E67:E130" si="34">$W$5</f>
        <v>Planilha 1</v>
      </c>
      <c r="F67" s="198" t="str">
        <f t="shared" ref="F67:F130" si="35">$W$6</f>
        <v>Geral</v>
      </c>
      <c r="G67" s="198" t="s">
        <v>23</v>
      </c>
      <c r="H67" s="199">
        <f t="shared" si="29"/>
        <v>2031</v>
      </c>
      <c r="I67" s="200">
        <f t="shared" si="29"/>
        <v>0</v>
      </c>
      <c r="J67" s="200" t="str">
        <f>IF(controle_formulario!$C$39=1,controle_formulario!$C$37,controle_formulario!$C$38)</f>
        <v>Epidemiologico Beneficiarios Saude Suplementar</v>
      </c>
      <c r="K67" s="197" t="s">
        <v>168</v>
      </c>
      <c r="L67" s="197" t="str">
        <f t="shared" si="28"/>
        <v xml:space="preserve"> Conjunto de Tratamentos-Padrão</v>
      </c>
      <c r="M67" s="201" t="e">
        <f t="shared" si="31"/>
        <v>#REF!</v>
      </c>
      <c r="N67" s="201">
        <f t="shared" si="31"/>
        <v>0</v>
      </c>
      <c r="O67" s="197" t="s">
        <v>172</v>
      </c>
      <c r="P67" s="197" t="str">
        <f t="shared" si="25"/>
        <v>Incorporação progressiva- pirtobrutinibe</v>
      </c>
      <c r="Q67" s="202">
        <f>'Market Share'!M13</f>
        <v>0</v>
      </c>
      <c r="R67" s="203">
        <f t="shared" ca="1" si="30"/>
        <v>0</v>
      </c>
      <c r="S67" s="204">
        <f t="shared" ca="1" si="30"/>
        <v>0</v>
      </c>
    </row>
    <row r="68" spans="1:19" x14ac:dyDescent="0.3">
      <c r="A68" s="198" t="str">
        <f>IF(AND(VALUE(RIGHT(O68,2))&lt;=controle_formulario!$E$16,VALUE(RIGHT(K68,2))&lt;=controle_formulario!$C$10,H68&lt;=Criterios!$C$31+controle_formulario!$I$16-1),"SIM","NÃO")</f>
        <v>NÃO</v>
      </c>
      <c r="B68" s="198">
        <f t="shared" si="32"/>
        <v>0</v>
      </c>
      <c r="C68" s="198" t="str">
        <f t="shared" si="33"/>
        <v>Formrol</v>
      </c>
      <c r="D68" s="179"/>
      <c r="E68" s="198" t="str">
        <f t="shared" si="34"/>
        <v>Planilha 1</v>
      </c>
      <c r="F68" s="198" t="str">
        <f t="shared" si="35"/>
        <v>Geral</v>
      </c>
      <c r="G68" s="198" t="s">
        <v>24</v>
      </c>
      <c r="H68" s="199">
        <f t="shared" si="29"/>
        <v>2032</v>
      </c>
      <c r="I68" s="200">
        <f t="shared" si="29"/>
        <v>0</v>
      </c>
      <c r="J68" s="200" t="str">
        <f>IF(controle_formulario!$C$39=1,controle_formulario!$C$37,controle_formulario!$C$38)</f>
        <v>Epidemiologico Beneficiarios Saude Suplementar</v>
      </c>
      <c r="K68" s="197" t="s">
        <v>168</v>
      </c>
      <c r="L68" s="197" t="str">
        <f t="shared" si="28"/>
        <v xml:space="preserve"> Conjunto de Tratamentos-Padrão</v>
      </c>
      <c r="M68" s="201" t="e">
        <f t="shared" si="31"/>
        <v>#REF!</v>
      </c>
      <c r="N68" s="201">
        <f t="shared" si="31"/>
        <v>0</v>
      </c>
      <c r="O68" s="197" t="s">
        <v>172</v>
      </c>
      <c r="P68" s="197" t="str">
        <f t="shared" si="25"/>
        <v>Incorporação progressiva- pirtobrutinibe</v>
      </c>
      <c r="Q68" s="202">
        <f>'Market Share'!M14</f>
        <v>0</v>
      </c>
      <c r="R68" s="203">
        <f t="shared" ca="1" si="30"/>
        <v>0</v>
      </c>
      <c r="S68" s="204">
        <f t="shared" ca="1" si="30"/>
        <v>0</v>
      </c>
    </row>
    <row r="69" spans="1:19" x14ac:dyDescent="0.3">
      <c r="A69" s="198" t="str">
        <f>IF(AND(VALUE(RIGHT(O69,2))&lt;=controle_formulario!$E$16,VALUE(RIGHT(K69,2))&lt;=controle_formulario!$C$10,H69&lt;=Criterios!$C$31+controle_formulario!$I$16-1),"SIM","NÃO")</f>
        <v>NÃO</v>
      </c>
      <c r="B69" s="198">
        <f t="shared" si="32"/>
        <v>0</v>
      </c>
      <c r="C69" s="198" t="str">
        <f t="shared" si="33"/>
        <v>Formrol</v>
      </c>
      <c r="D69" s="179"/>
      <c r="E69" s="198" t="str">
        <f t="shared" si="34"/>
        <v>Planilha 1</v>
      </c>
      <c r="F69" s="198" t="str">
        <f t="shared" si="35"/>
        <v>Geral</v>
      </c>
      <c r="G69" s="198" t="s">
        <v>25</v>
      </c>
      <c r="H69" s="199">
        <f t="shared" si="29"/>
        <v>2033</v>
      </c>
      <c r="I69" s="200">
        <f t="shared" si="29"/>
        <v>0</v>
      </c>
      <c r="J69" s="200" t="str">
        <f>IF(controle_formulario!$C$39=1,controle_formulario!$C$37,controle_formulario!$C$38)</f>
        <v>Epidemiologico Beneficiarios Saude Suplementar</v>
      </c>
      <c r="K69" s="197" t="s">
        <v>168</v>
      </c>
      <c r="L69" s="197" t="str">
        <f t="shared" si="28"/>
        <v xml:space="preserve"> Conjunto de Tratamentos-Padrão</v>
      </c>
      <c r="M69" s="201" t="e">
        <f t="shared" si="31"/>
        <v>#REF!</v>
      </c>
      <c r="N69" s="201">
        <f t="shared" si="31"/>
        <v>0</v>
      </c>
      <c r="O69" s="197" t="s">
        <v>172</v>
      </c>
      <c r="P69" s="197" t="str">
        <f t="shared" si="25"/>
        <v>Incorporação progressiva- pirtobrutinibe</v>
      </c>
      <c r="Q69" s="202">
        <f>'Market Share'!M15</f>
        <v>0</v>
      </c>
      <c r="R69" s="203">
        <f t="shared" ca="1" si="30"/>
        <v>0</v>
      </c>
      <c r="S69" s="204">
        <f t="shared" ca="1" si="30"/>
        <v>0</v>
      </c>
    </row>
    <row r="70" spans="1:19" x14ac:dyDescent="0.3">
      <c r="A70" s="198" t="str">
        <f>IF(AND(VALUE(RIGHT(O70,2))&lt;=controle_formulario!$E$16,VALUE(RIGHT(K70,2))&lt;=controle_formulario!$C$10,H70&lt;=Criterios!$C$31+controle_formulario!$I$16-1),"SIM","NÃO")</f>
        <v>NÃO</v>
      </c>
      <c r="B70" s="198">
        <f t="shared" si="32"/>
        <v>0</v>
      </c>
      <c r="C70" s="198" t="str">
        <f t="shared" si="33"/>
        <v>Formrol</v>
      </c>
      <c r="D70" s="179"/>
      <c r="E70" s="198" t="str">
        <f t="shared" si="34"/>
        <v>Planilha 1</v>
      </c>
      <c r="F70" s="198" t="str">
        <f t="shared" si="35"/>
        <v>Geral</v>
      </c>
      <c r="G70" s="198" t="s">
        <v>26</v>
      </c>
      <c r="H70" s="199">
        <f t="shared" si="29"/>
        <v>2034</v>
      </c>
      <c r="I70" s="200">
        <f t="shared" si="29"/>
        <v>0</v>
      </c>
      <c r="J70" s="200" t="str">
        <f>IF(controle_formulario!$C$39=1,controle_formulario!$C$37,controle_formulario!$C$38)</f>
        <v>Epidemiologico Beneficiarios Saude Suplementar</v>
      </c>
      <c r="K70" s="197" t="s">
        <v>168</v>
      </c>
      <c r="L70" s="197" t="str">
        <f t="shared" si="28"/>
        <v xml:space="preserve"> Conjunto de Tratamentos-Padrão</v>
      </c>
      <c r="M70" s="201" t="e">
        <f t="shared" si="31"/>
        <v>#REF!</v>
      </c>
      <c r="N70" s="201">
        <f t="shared" si="31"/>
        <v>0</v>
      </c>
      <c r="O70" s="197" t="s">
        <v>172</v>
      </c>
      <c r="P70" s="197" t="str">
        <f t="shared" si="25"/>
        <v>Incorporação progressiva- pirtobrutinibe</v>
      </c>
      <c r="Q70" s="202">
        <f>'Market Share'!M16</f>
        <v>0</v>
      </c>
      <c r="R70" s="203">
        <f t="shared" ca="1" si="30"/>
        <v>0</v>
      </c>
      <c r="S70" s="204">
        <f t="shared" ca="1" si="30"/>
        <v>0</v>
      </c>
    </row>
    <row r="71" spans="1:19" ht="15" thickBot="1" x14ac:dyDescent="0.35">
      <c r="A71" s="205" t="str">
        <f>IF(AND(VALUE(RIGHT(O71,2))&lt;=controle_formulario!$E$16,VALUE(RIGHT(K71,2))&lt;=controle_formulario!$C$10,H71&lt;=Criterios!$C$31+controle_formulario!$I$16-1),"SIM","NÃO")</f>
        <v>NÃO</v>
      </c>
      <c r="B71" s="205">
        <f t="shared" si="32"/>
        <v>0</v>
      </c>
      <c r="C71" s="205" t="str">
        <f t="shared" si="33"/>
        <v>Formrol</v>
      </c>
      <c r="D71" s="180"/>
      <c r="E71" s="205" t="str">
        <f t="shared" si="34"/>
        <v>Planilha 1</v>
      </c>
      <c r="F71" s="205" t="str">
        <f t="shared" si="35"/>
        <v>Geral</v>
      </c>
      <c r="G71" s="205" t="s">
        <v>27</v>
      </c>
      <c r="H71" s="206">
        <f t="shared" si="29"/>
        <v>2035</v>
      </c>
      <c r="I71" s="207">
        <f t="shared" si="29"/>
        <v>0</v>
      </c>
      <c r="J71" s="207" t="str">
        <f>IF(controle_formulario!$C$39=1,controle_formulario!$C$37,controle_formulario!$C$38)</f>
        <v>Epidemiologico Beneficiarios Saude Suplementar</v>
      </c>
      <c r="K71" s="208" t="s">
        <v>168</v>
      </c>
      <c r="L71" s="208" t="str">
        <f t="shared" si="28"/>
        <v xml:space="preserve"> Conjunto de Tratamentos-Padrão</v>
      </c>
      <c r="M71" s="201" t="e">
        <f t="shared" si="31"/>
        <v>#REF!</v>
      </c>
      <c r="N71" s="201">
        <f t="shared" si="31"/>
        <v>0</v>
      </c>
      <c r="O71" s="214" t="s">
        <v>172</v>
      </c>
      <c r="P71" s="214" t="str">
        <f t="shared" si="25"/>
        <v>Incorporação progressiva- pirtobrutinibe</v>
      </c>
      <c r="Q71" s="215">
        <f>'Market Share'!M17</f>
        <v>0</v>
      </c>
      <c r="R71" s="216">
        <f t="shared" ca="1" si="30"/>
        <v>0</v>
      </c>
      <c r="S71" s="217">
        <f t="shared" ca="1" si="30"/>
        <v>0</v>
      </c>
    </row>
    <row r="72" spans="1:19" x14ac:dyDescent="0.3">
      <c r="A72" s="189" t="str">
        <f>IF(AND(VALUE(RIGHT(O72,2))&lt;=controle_formulario!$E$16,VALUE(RIGHT(K72,2))&lt;=controle_formulario!$C$10,H72&lt;=Criterios!$C$31+controle_formulario!$I$16-1),"SIM","NÃO")</f>
        <v>NÃO</v>
      </c>
      <c r="B72" s="189">
        <f t="shared" si="32"/>
        <v>0</v>
      </c>
      <c r="C72" s="189" t="str">
        <f t="shared" si="33"/>
        <v>Formrol</v>
      </c>
      <c r="D72" s="177"/>
      <c r="E72" s="189" t="str">
        <f t="shared" si="34"/>
        <v>Planilha 1</v>
      </c>
      <c r="F72" s="189" t="str">
        <f t="shared" si="35"/>
        <v>Geral</v>
      </c>
      <c r="G72" s="189" t="s">
        <v>18</v>
      </c>
      <c r="H72" s="190">
        <f>H62</f>
        <v>2026</v>
      </c>
      <c r="I72" s="191">
        <f ca="1">I62</f>
        <v>35.902021176061034</v>
      </c>
      <c r="J72" s="191" t="str">
        <f>IF(controle_formulario!$C$39=1,controle_formulario!$C$37,controle_formulario!$C$38)</f>
        <v>Epidemiologico Beneficiarios Saude Suplementar</v>
      </c>
      <c r="K72" s="192" t="s">
        <v>169</v>
      </c>
      <c r="L72" s="192">
        <f t="shared" ref="L72:L81" si="36">trat.b</f>
        <v>0</v>
      </c>
      <c r="M72" s="193">
        <f>Resumo!$D$40</f>
        <v>0</v>
      </c>
      <c r="N72" s="193">
        <f>Resumo!$D$49</f>
        <v>0</v>
      </c>
      <c r="O72" s="192" t="s">
        <v>172</v>
      </c>
      <c r="P72" s="192" t="str">
        <f t="shared" si="25"/>
        <v>Incorporação progressiva- pirtobrutinibe</v>
      </c>
      <c r="Q72" s="194">
        <f>'Market Share'!N8</f>
        <v>0</v>
      </c>
      <c r="R72" s="195">
        <f ca="1">R62</f>
        <v>13193725.037933065</v>
      </c>
      <c r="S72" s="196">
        <f ca="1">S62</f>
        <v>9083180.5994041599</v>
      </c>
    </row>
    <row r="73" spans="1:19" x14ac:dyDescent="0.3">
      <c r="A73" s="198" t="str">
        <f>IF(AND(VALUE(RIGHT(O73,2))&lt;=controle_formulario!$E$16,VALUE(RIGHT(K73,2))&lt;=controle_formulario!$C$10,H73&lt;=Criterios!$C$31+controle_formulario!$I$16-1),"SIM","NÃO")</f>
        <v>NÃO</v>
      </c>
      <c r="B73" s="198">
        <f t="shared" si="32"/>
        <v>0</v>
      </c>
      <c r="C73" s="198" t="str">
        <f t="shared" si="33"/>
        <v>Formrol</v>
      </c>
      <c r="D73" s="179"/>
      <c r="E73" s="198" t="str">
        <f t="shared" si="34"/>
        <v>Planilha 1</v>
      </c>
      <c r="F73" s="198" t="str">
        <f t="shared" si="35"/>
        <v>Geral</v>
      </c>
      <c r="G73" s="198" t="s">
        <v>19</v>
      </c>
      <c r="H73" s="199">
        <f t="shared" ref="H73:I81" si="37">H63</f>
        <v>2027</v>
      </c>
      <c r="I73" s="200">
        <f t="shared" ca="1" si="37"/>
        <v>36.027114594978322</v>
      </c>
      <c r="J73" s="200" t="str">
        <f>IF(controle_formulario!$C$39=1,controle_formulario!$C$37,controle_formulario!$C$38)</f>
        <v>Epidemiologico Beneficiarios Saude Suplementar</v>
      </c>
      <c r="K73" s="197" t="s">
        <v>169</v>
      </c>
      <c r="L73" s="197">
        <f t="shared" si="36"/>
        <v>0</v>
      </c>
      <c r="M73" s="201">
        <f>M72</f>
        <v>0</v>
      </c>
      <c r="N73" s="201">
        <f>N72</f>
        <v>0</v>
      </c>
      <c r="O73" s="197" t="s">
        <v>172</v>
      </c>
      <c r="P73" s="197" t="str">
        <f t="shared" si="25"/>
        <v>Incorporação progressiva- pirtobrutinibe</v>
      </c>
      <c r="Q73" s="202">
        <f>'Market Share'!N9</f>
        <v>0</v>
      </c>
      <c r="R73" s="203">
        <f t="shared" ca="1" si="30"/>
        <v>13858018.121687833</v>
      </c>
      <c r="S73" s="204">
        <f t="shared" ca="1" si="30"/>
        <v>9733151.3124237154</v>
      </c>
    </row>
    <row r="74" spans="1:19" x14ac:dyDescent="0.3">
      <c r="A74" s="198" t="str">
        <f>IF(AND(VALUE(RIGHT(O74,2))&lt;=controle_formulario!$E$16,VALUE(RIGHT(K74,2))&lt;=controle_formulario!$C$10,H74&lt;=Criterios!$C$31+controle_formulario!$I$16-1),"SIM","NÃO")</f>
        <v>NÃO</v>
      </c>
      <c r="B74" s="198">
        <f t="shared" si="32"/>
        <v>0</v>
      </c>
      <c r="C74" s="198" t="str">
        <f t="shared" si="33"/>
        <v>Formrol</v>
      </c>
      <c r="D74" s="179"/>
      <c r="E74" s="198" t="str">
        <f t="shared" si="34"/>
        <v>Planilha 1</v>
      </c>
      <c r="F74" s="198" t="str">
        <f t="shared" si="35"/>
        <v>Geral</v>
      </c>
      <c r="G74" s="198" t="s">
        <v>20</v>
      </c>
      <c r="H74" s="199">
        <f t="shared" si="37"/>
        <v>2028</v>
      </c>
      <c r="I74" s="200">
        <f t="shared" ca="1" si="37"/>
        <v>36.142742272880319</v>
      </c>
      <c r="J74" s="200" t="str">
        <f>IF(controle_formulario!$C$39=1,controle_formulario!$C$37,controle_formulario!$C$38)</f>
        <v>Epidemiologico Beneficiarios Saude Suplementar</v>
      </c>
      <c r="K74" s="197" t="s">
        <v>169</v>
      </c>
      <c r="L74" s="197">
        <f t="shared" si="36"/>
        <v>0</v>
      </c>
      <c r="M74" s="201">
        <f t="shared" ref="M74:N81" si="38">M73</f>
        <v>0</v>
      </c>
      <c r="N74" s="201">
        <f t="shared" si="38"/>
        <v>0</v>
      </c>
      <c r="O74" s="197" t="s">
        <v>172</v>
      </c>
      <c r="P74" s="197" t="str">
        <f t="shared" si="25"/>
        <v>Incorporação progressiva- pirtobrutinibe</v>
      </c>
      <c r="Q74" s="202">
        <f>'Market Share'!N10</f>
        <v>0</v>
      </c>
      <c r="R74" s="203">
        <f t="shared" ca="1" si="30"/>
        <v>14522801.580103004</v>
      </c>
      <c r="S74" s="204">
        <f t="shared" ca="1" si="30"/>
        <v>10384696.164967388</v>
      </c>
    </row>
    <row r="75" spans="1:19" x14ac:dyDescent="0.3">
      <c r="A75" s="198" t="str">
        <f>IF(AND(VALUE(RIGHT(O75,2))&lt;=controle_formulario!$E$16,VALUE(RIGHT(K75,2))&lt;=controle_formulario!$C$10,H75&lt;=Criterios!$C$31+controle_formulario!$I$16-1),"SIM","NÃO")</f>
        <v>NÃO</v>
      </c>
      <c r="B75" s="198">
        <f t="shared" si="32"/>
        <v>0</v>
      </c>
      <c r="C75" s="198" t="str">
        <f t="shared" si="33"/>
        <v>Formrol</v>
      </c>
      <c r="D75" s="179"/>
      <c r="E75" s="198" t="str">
        <f t="shared" si="34"/>
        <v>Planilha 1</v>
      </c>
      <c r="F75" s="198" t="str">
        <f t="shared" si="35"/>
        <v>Geral</v>
      </c>
      <c r="G75" s="198" t="s">
        <v>21</v>
      </c>
      <c r="H75" s="199">
        <f t="shared" si="37"/>
        <v>2029</v>
      </c>
      <c r="I75" s="200">
        <f t="shared" ca="1" si="37"/>
        <v>36.250027878529522</v>
      </c>
      <c r="J75" s="200" t="str">
        <f>IF(controle_formulario!$C$39=1,controle_formulario!$C$37,controle_formulario!$C$38)</f>
        <v>Epidemiologico Beneficiarios Saude Suplementar</v>
      </c>
      <c r="K75" s="197" t="s">
        <v>169</v>
      </c>
      <c r="L75" s="197">
        <f t="shared" si="36"/>
        <v>0</v>
      </c>
      <c r="M75" s="201">
        <f t="shared" si="38"/>
        <v>0</v>
      </c>
      <c r="N75" s="201">
        <f t="shared" si="38"/>
        <v>0</v>
      </c>
      <c r="O75" s="197" t="s">
        <v>172</v>
      </c>
      <c r="P75" s="197" t="str">
        <f t="shared" si="25"/>
        <v>Incorporação progressiva- pirtobrutinibe</v>
      </c>
      <c r="Q75" s="202">
        <f>'Market Share'!N11</f>
        <v>0</v>
      </c>
      <c r="R75" s="203">
        <f t="shared" ca="1" si="30"/>
        <v>15188058.83587864</v>
      </c>
      <c r="S75" s="204">
        <f t="shared" ca="1" si="30"/>
        <v>11037669.927079175</v>
      </c>
    </row>
    <row r="76" spans="1:19" x14ac:dyDescent="0.3">
      <c r="A76" s="198" t="str">
        <f>IF(AND(VALUE(RIGHT(O76,2))&lt;=controle_formulario!$E$16,VALUE(RIGHT(K76,2))&lt;=controle_formulario!$C$10,H76&lt;=Criterios!$C$31+controle_formulario!$I$16-1),"SIM","NÃO")</f>
        <v>NÃO</v>
      </c>
      <c r="B76" s="198">
        <f t="shared" si="32"/>
        <v>0</v>
      </c>
      <c r="C76" s="198" t="str">
        <f t="shared" si="33"/>
        <v>Formrol</v>
      </c>
      <c r="D76" s="179"/>
      <c r="E76" s="198" t="str">
        <f t="shared" si="34"/>
        <v>Planilha 1</v>
      </c>
      <c r="F76" s="198" t="str">
        <f t="shared" si="35"/>
        <v>Geral</v>
      </c>
      <c r="G76" s="198" t="s">
        <v>22</v>
      </c>
      <c r="H76" s="199">
        <f t="shared" si="37"/>
        <v>2030</v>
      </c>
      <c r="I76" s="200">
        <f t="shared" ca="1" si="37"/>
        <v>36.350592396534239</v>
      </c>
      <c r="J76" s="200" t="str">
        <f>IF(controle_formulario!$C$39=1,controle_formulario!$C$37,controle_formulario!$C$38)</f>
        <v>Epidemiologico Beneficiarios Saude Suplementar</v>
      </c>
      <c r="K76" s="197" t="s">
        <v>169</v>
      </c>
      <c r="L76" s="197">
        <f t="shared" si="36"/>
        <v>0</v>
      </c>
      <c r="M76" s="201">
        <f t="shared" si="38"/>
        <v>0</v>
      </c>
      <c r="N76" s="201">
        <f t="shared" si="38"/>
        <v>0</v>
      </c>
      <c r="O76" s="197" t="s">
        <v>172</v>
      </c>
      <c r="P76" s="197" t="str">
        <f t="shared" si="25"/>
        <v>Incorporação progressiva- pirtobrutinibe</v>
      </c>
      <c r="Q76" s="202">
        <f>'Market Share'!N12</f>
        <v>0</v>
      </c>
      <c r="R76" s="203">
        <f t="shared" ca="1" si="30"/>
        <v>15854067.353402093</v>
      </c>
      <c r="S76" s="204">
        <f t="shared" ca="1" si="30"/>
        <v>11692164.471108755</v>
      </c>
    </row>
    <row r="77" spans="1:19" x14ac:dyDescent="0.3">
      <c r="A77" s="198" t="str">
        <f>IF(AND(VALUE(RIGHT(O77,2))&lt;=controle_formulario!$E$16,VALUE(RIGHT(K77,2))&lt;=controle_formulario!$C$10,H77&lt;=Criterios!$C$31+controle_formulario!$I$16-1),"SIM","NÃO")</f>
        <v>NÃO</v>
      </c>
      <c r="B77" s="198">
        <f t="shared" si="32"/>
        <v>0</v>
      </c>
      <c r="C77" s="198" t="str">
        <f t="shared" si="33"/>
        <v>Formrol</v>
      </c>
      <c r="D77" s="179"/>
      <c r="E77" s="198" t="str">
        <f t="shared" si="34"/>
        <v>Planilha 1</v>
      </c>
      <c r="F77" s="198" t="str">
        <f t="shared" si="35"/>
        <v>Geral</v>
      </c>
      <c r="G77" s="198" t="s">
        <v>23</v>
      </c>
      <c r="H77" s="199">
        <f t="shared" si="37"/>
        <v>2031</v>
      </c>
      <c r="I77" s="200">
        <f t="shared" si="37"/>
        <v>0</v>
      </c>
      <c r="J77" s="200" t="str">
        <f>IF(controle_formulario!$C$39=1,controle_formulario!$C$37,controle_formulario!$C$38)</f>
        <v>Epidemiologico Beneficiarios Saude Suplementar</v>
      </c>
      <c r="K77" s="197" t="s">
        <v>169</v>
      </c>
      <c r="L77" s="197">
        <f t="shared" si="36"/>
        <v>0</v>
      </c>
      <c r="M77" s="201">
        <f t="shared" si="38"/>
        <v>0</v>
      </c>
      <c r="N77" s="201">
        <f t="shared" si="38"/>
        <v>0</v>
      </c>
      <c r="O77" s="197" t="s">
        <v>172</v>
      </c>
      <c r="P77" s="197" t="str">
        <f t="shared" si="25"/>
        <v>Incorporação progressiva- pirtobrutinibe</v>
      </c>
      <c r="Q77" s="202">
        <f>'Market Share'!N13</f>
        <v>0</v>
      </c>
      <c r="R77" s="203">
        <f t="shared" ca="1" si="30"/>
        <v>0</v>
      </c>
      <c r="S77" s="204">
        <f t="shared" ca="1" si="30"/>
        <v>0</v>
      </c>
    </row>
    <row r="78" spans="1:19" x14ac:dyDescent="0.3">
      <c r="A78" s="198" t="str">
        <f>IF(AND(VALUE(RIGHT(O78,2))&lt;=controle_formulario!$E$16,VALUE(RIGHT(K78,2))&lt;=controle_formulario!$C$10,H78&lt;=Criterios!$C$31+controle_formulario!$I$16-1),"SIM","NÃO")</f>
        <v>NÃO</v>
      </c>
      <c r="B78" s="198">
        <f t="shared" si="32"/>
        <v>0</v>
      </c>
      <c r="C78" s="198" t="str">
        <f t="shared" si="33"/>
        <v>Formrol</v>
      </c>
      <c r="D78" s="179"/>
      <c r="E78" s="198" t="str">
        <f t="shared" si="34"/>
        <v>Planilha 1</v>
      </c>
      <c r="F78" s="198" t="str">
        <f t="shared" si="35"/>
        <v>Geral</v>
      </c>
      <c r="G78" s="198" t="s">
        <v>24</v>
      </c>
      <c r="H78" s="199">
        <f t="shared" si="37"/>
        <v>2032</v>
      </c>
      <c r="I78" s="200">
        <f t="shared" si="37"/>
        <v>0</v>
      </c>
      <c r="J78" s="200" t="str">
        <f>IF(controle_formulario!$C$39=1,controle_formulario!$C$37,controle_formulario!$C$38)</f>
        <v>Epidemiologico Beneficiarios Saude Suplementar</v>
      </c>
      <c r="K78" s="197" t="s">
        <v>169</v>
      </c>
      <c r="L78" s="197">
        <f t="shared" si="36"/>
        <v>0</v>
      </c>
      <c r="M78" s="201">
        <f t="shared" si="38"/>
        <v>0</v>
      </c>
      <c r="N78" s="201">
        <f t="shared" si="38"/>
        <v>0</v>
      </c>
      <c r="O78" s="197" t="s">
        <v>172</v>
      </c>
      <c r="P78" s="197" t="str">
        <f t="shared" si="25"/>
        <v>Incorporação progressiva- pirtobrutinibe</v>
      </c>
      <c r="Q78" s="202">
        <f>'Market Share'!N14</f>
        <v>0</v>
      </c>
      <c r="R78" s="203">
        <f t="shared" ca="1" si="30"/>
        <v>0</v>
      </c>
      <c r="S78" s="204">
        <f t="shared" ca="1" si="30"/>
        <v>0</v>
      </c>
    </row>
    <row r="79" spans="1:19" x14ac:dyDescent="0.3">
      <c r="A79" s="198" t="str">
        <f>IF(AND(VALUE(RIGHT(O79,2))&lt;=controle_formulario!$E$16,VALUE(RIGHT(K79,2))&lt;=controle_formulario!$C$10,H79&lt;=Criterios!$C$31+controle_formulario!$I$16-1),"SIM","NÃO")</f>
        <v>NÃO</v>
      </c>
      <c r="B79" s="198">
        <f t="shared" si="32"/>
        <v>0</v>
      </c>
      <c r="C79" s="198" t="str">
        <f t="shared" si="33"/>
        <v>Formrol</v>
      </c>
      <c r="D79" s="179"/>
      <c r="E79" s="198" t="str">
        <f t="shared" si="34"/>
        <v>Planilha 1</v>
      </c>
      <c r="F79" s="198" t="str">
        <f t="shared" si="35"/>
        <v>Geral</v>
      </c>
      <c r="G79" s="198" t="s">
        <v>25</v>
      </c>
      <c r="H79" s="199">
        <f t="shared" si="37"/>
        <v>2033</v>
      </c>
      <c r="I79" s="200">
        <f t="shared" si="37"/>
        <v>0</v>
      </c>
      <c r="J79" s="200" t="str">
        <f>IF(controle_formulario!$C$39=1,controle_formulario!$C$37,controle_formulario!$C$38)</f>
        <v>Epidemiologico Beneficiarios Saude Suplementar</v>
      </c>
      <c r="K79" s="197" t="s">
        <v>169</v>
      </c>
      <c r="L79" s="197">
        <f t="shared" si="36"/>
        <v>0</v>
      </c>
      <c r="M79" s="201">
        <f t="shared" si="38"/>
        <v>0</v>
      </c>
      <c r="N79" s="201">
        <f t="shared" si="38"/>
        <v>0</v>
      </c>
      <c r="O79" s="197" t="s">
        <v>172</v>
      </c>
      <c r="P79" s="197" t="str">
        <f t="shared" si="25"/>
        <v>Incorporação progressiva- pirtobrutinibe</v>
      </c>
      <c r="Q79" s="202">
        <f>'Market Share'!N15</f>
        <v>0</v>
      </c>
      <c r="R79" s="203">
        <f t="shared" ref="R79:S81" ca="1" si="39">R69</f>
        <v>0</v>
      </c>
      <c r="S79" s="204">
        <f t="shared" ca="1" si="39"/>
        <v>0</v>
      </c>
    </row>
    <row r="80" spans="1:19" x14ac:dyDescent="0.3">
      <c r="A80" s="198" t="str">
        <f>IF(AND(VALUE(RIGHT(O80,2))&lt;=controle_formulario!$E$16,VALUE(RIGHT(K80,2))&lt;=controle_formulario!$C$10,H80&lt;=Criterios!$C$31+controle_formulario!$I$16-1),"SIM","NÃO")</f>
        <v>NÃO</v>
      </c>
      <c r="B80" s="198">
        <f t="shared" si="32"/>
        <v>0</v>
      </c>
      <c r="C80" s="198" t="str">
        <f t="shared" si="33"/>
        <v>Formrol</v>
      </c>
      <c r="D80" s="179"/>
      <c r="E80" s="198" t="str">
        <f t="shared" si="34"/>
        <v>Planilha 1</v>
      </c>
      <c r="F80" s="198" t="str">
        <f t="shared" si="35"/>
        <v>Geral</v>
      </c>
      <c r="G80" s="198" t="s">
        <v>26</v>
      </c>
      <c r="H80" s="199">
        <f t="shared" si="37"/>
        <v>2034</v>
      </c>
      <c r="I80" s="200">
        <f t="shared" si="37"/>
        <v>0</v>
      </c>
      <c r="J80" s="200" t="str">
        <f>IF(controle_formulario!$C$39=1,controle_formulario!$C$37,controle_formulario!$C$38)</f>
        <v>Epidemiologico Beneficiarios Saude Suplementar</v>
      </c>
      <c r="K80" s="197" t="s">
        <v>169</v>
      </c>
      <c r="L80" s="197">
        <f t="shared" si="36"/>
        <v>0</v>
      </c>
      <c r="M80" s="201">
        <f t="shared" si="38"/>
        <v>0</v>
      </c>
      <c r="N80" s="201">
        <f t="shared" si="38"/>
        <v>0</v>
      </c>
      <c r="O80" s="197" t="s">
        <v>172</v>
      </c>
      <c r="P80" s="197" t="str">
        <f t="shared" si="25"/>
        <v>Incorporação progressiva- pirtobrutinibe</v>
      </c>
      <c r="Q80" s="202">
        <f>'Market Share'!N16</f>
        <v>0</v>
      </c>
      <c r="R80" s="203">
        <f t="shared" ca="1" si="39"/>
        <v>0</v>
      </c>
      <c r="S80" s="204">
        <f t="shared" ca="1" si="39"/>
        <v>0</v>
      </c>
    </row>
    <row r="81" spans="1:19" ht="15" thickBot="1" x14ac:dyDescent="0.35">
      <c r="A81" s="205" t="str">
        <f>IF(AND(VALUE(RIGHT(O81,2))&lt;=controle_formulario!$E$16,VALUE(RIGHT(K81,2))&lt;=controle_formulario!$C$10,H81&lt;=Criterios!$C$31+controle_formulario!$I$16-1),"SIM","NÃO")</f>
        <v>NÃO</v>
      </c>
      <c r="B81" s="205">
        <f t="shared" si="32"/>
        <v>0</v>
      </c>
      <c r="C81" s="205" t="str">
        <f t="shared" si="33"/>
        <v>Formrol</v>
      </c>
      <c r="D81" s="180"/>
      <c r="E81" s="205" t="str">
        <f t="shared" si="34"/>
        <v>Planilha 1</v>
      </c>
      <c r="F81" s="205" t="str">
        <f t="shared" si="35"/>
        <v>Geral</v>
      </c>
      <c r="G81" s="205" t="s">
        <v>27</v>
      </c>
      <c r="H81" s="206">
        <f t="shared" si="37"/>
        <v>2035</v>
      </c>
      <c r="I81" s="207">
        <f t="shared" si="37"/>
        <v>0</v>
      </c>
      <c r="J81" s="207" t="str">
        <f>IF(controle_formulario!$C$39=1,controle_formulario!$C$37,controle_formulario!$C$38)</f>
        <v>Epidemiologico Beneficiarios Saude Suplementar</v>
      </c>
      <c r="K81" s="208" t="s">
        <v>169</v>
      </c>
      <c r="L81" s="208">
        <f t="shared" si="36"/>
        <v>0</v>
      </c>
      <c r="M81" s="201">
        <f t="shared" si="38"/>
        <v>0</v>
      </c>
      <c r="N81" s="201">
        <f t="shared" si="38"/>
        <v>0</v>
      </c>
      <c r="O81" s="214" t="s">
        <v>172</v>
      </c>
      <c r="P81" s="214" t="str">
        <f t="shared" si="25"/>
        <v>Incorporação progressiva- pirtobrutinibe</v>
      </c>
      <c r="Q81" s="215">
        <f>'Market Share'!N17</f>
        <v>0</v>
      </c>
      <c r="R81" s="216">
        <f t="shared" ca="1" si="39"/>
        <v>0</v>
      </c>
      <c r="S81" s="217">
        <f t="shared" ca="1" si="39"/>
        <v>0</v>
      </c>
    </row>
    <row r="82" spans="1:19" x14ac:dyDescent="0.3">
      <c r="A82" s="189" t="str">
        <f>IF(AND(VALUE(RIGHT(O82,2))&lt;=controle_formulario!$E$16,VALUE(RIGHT(K82,2))&lt;=controle_formulario!$C$10,H82&lt;=Criterios!$C$31+controle_formulario!$I$16-1),"SIM","NÃO")</f>
        <v>NÃO</v>
      </c>
      <c r="B82" s="189">
        <f t="shared" si="32"/>
        <v>0</v>
      </c>
      <c r="C82" s="189" t="str">
        <f t="shared" si="33"/>
        <v>Formrol</v>
      </c>
      <c r="D82" s="177"/>
      <c r="E82" s="189" t="str">
        <f t="shared" si="34"/>
        <v>Planilha 1</v>
      </c>
      <c r="F82" s="189" t="str">
        <f t="shared" si="35"/>
        <v>Geral</v>
      </c>
      <c r="G82" s="189" t="s">
        <v>18</v>
      </c>
      <c r="H82" s="190">
        <f>H72</f>
        <v>2026</v>
      </c>
      <c r="I82" s="191">
        <f ca="1">I72</f>
        <v>35.902021176061034</v>
      </c>
      <c r="J82" s="191" t="str">
        <f>IF(controle_formulario!$C$39=1,controle_formulario!$C$37,controle_formulario!$C$38)</f>
        <v>Epidemiologico Beneficiarios Saude Suplementar</v>
      </c>
      <c r="K82" s="192" t="s">
        <v>170</v>
      </c>
      <c r="L82" s="192">
        <f t="shared" ref="L82:L91" si="40">trat.c</f>
        <v>0</v>
      </c>
      <c r="M82" s="193">
        <f>Resumo!$D$41</f>
        <v>0</v>
      </c>
      <c r="N82" s="193">
        <f>Resumo!$D$50</f>
        <v>0</v>
      </c>
      <c r="O82" s="192" t="s">
        <v>172</v>
      </c>
      <c r="P82" s="192" t="str">
        <f t="shared" si="25"/>
        <v>Incorporação progressiva- pirtobrutinibe</v>
      </c>
      <c r="Q82" s="194">
        <f>'Market Share'!O8</f>
        <v>0</v>
      </c>
      <c r="R82" s="195">
        <f ca="1">R72</f>
        <v>13193725.037933065</v>
      </c>
      <c r="S82" s="196">
        <f ca="1">S72</f>
        <v>9083180.5994041599</v>
      </c>
    </row>
    <row r="83" spans="1:19" x14ac:dyDescent="0.3">
      <c r="A83" s="198" t="str">
        <f>IF(AND(VALUE(RIGHT(O83,2))&lt;=controle_formulario!$E$16,VALUE(RIGHT(K83,2))&lt;=controle_formulario!$C$10,H83&lt;=Criterios!$C$31+controle_formulario!$I$16-1),"SIM","NÃO")</f>
        <v>NÃO</v>
      </c>
      <c r="B83" s="198">
        <f t="shared" si="32"/>
        <v>0</v>
      </c>
      <c r="C83" s="198" t="str">
        <f t="shared" si="33"/>
        <v>Formrol</v>
      </c>
      <c r="D83" s="179"/>
      <c r="E83" s="198" t="str">
        <f t="shared" si="34"/>
        <v>Planilha 1</v>
      </c>
      <c r="F83" s="198" t="str">
        <f t="shared" si="35"/>
        <v>Geral</v>
      </c>
      <c r="G83" s="198" t="s">
        <v>19</v>
      </c>
      <c r="H83" s="199">
        <f t="shared" ref="H83:I91" si="41">H73</f>
        <v>2027</v>
      </c>
      <c r="I83" s="200">
        <f t="shared" ca="1" si="41"/>
        <v>36.027114594978322</v>
      </c>
      <c r="J83" s="200" t="str">
        <f>IF(controle_formulario!$C$39=1,controle_formulario!$C$37,controle_formulario!$C$38)</f>
        <v>Epidemiologico Beneficiarios Saude Suplementar</v>
      </c>
      <c r="K83" s="197" t="s">
        <v>170</v>
      </c>
      <c r="L83" s="197">
        <f t="shared" si="40"/>
        <v>0</v>
      </c>
      <c r="M83" s="201">
        <f>M82</f>
        <v>0</v>
      </c>
      <c r="N83" s="201">
        <f>N82</f>
        <v>0</v>
      </c>
      <c r="O83" s="197" t="s">
        <v>172</v>
      </c>
      <c r="P83" s="197" t="str">
        <f t="shared" si="25"/>
        <v>Incorporação progressiva- pirtobrutinibe</v>
      </c>
      <c r="Q83" s="202">
        <f>'Market Share'!O9</f>
        <v>0</v>
      </c>
      <c r="R83" s="203">
        <f t="shared" ref="R83:S91" ca="1" si="42">R73</f>
        <v>13858018.121687833</v>
      </c>
      <c r="S83" s="204">
        <f t="shared" ca="1" si="42"/>
        <v>9733151.3124237154</v>
      </c>
    </row>
    <row r="84" spans="1:19" x14ac:dyDescent="0.3">
      <c r="A84" s="198" t="str">
        <f>IF(AND(VALUE(RIGHT(O84,2))&lt;=controle_formulario!$E$16,VALUE(RIGHT(K84,2))&lt;=controle_formulario!$C$10,H84&lt;=Criterios!$C$31+controle_formulario!$I$16-1),"SIM","NÃO")</f>
        <v>NÃO</v>
      </c>
      <c r="B84" s="198">
        <f t="shared" si="32"/>
        <v>0</v>
      </c>
      <c r="C84" s="198" t="str">
        <f t="shared" si="33"/>
        <v>Formrol</v>
      </c>
      <c r="D84" s="179"/>
      <c r="E84" s="198" t="str">
        <f t="shared" si="34"/>
        <v>Planilha 1</v>
      </c>
      <c r="F84" s="198" t="str">
        <f t="shared" si="35"/>
        <v>Geral</v>
      </c>
      <c r="G84" s="198" t="s">
        <v>20</v>
      </c>
      <c r="H84" s="199">
        <f t="shared" si="41"/>
        <v>2028</v>
      </c>
      <c r="I84" s="200">
        <f t="shared" ca="1" si="41"/>
        <v>36.142742272880319</v>
      </c>
      <c r="J84" s="200" t="str">
        <f>IF(controle_formulario!$C$39=1,controle_formulario!$C$37,controle_formulario!$C$38)</f>
        <v>Epidemiologico Beneficiarios Saude Suplementar</v>
      </c>
      <c r="K84" s="197" t="s">
        <v>170</v>
      </c>
      <c r="L84" s="197">
        <f t="shared" si="40"/>
        <v>0</v>
      </c>
      <c r="M84" s="201">
        <f t="shared" ref="M84:N91" si="43">M83</f>
        <v>0</v>
      </c>
      <c r="N84" s="201">
        <f t="shared" si="43"/>
        <v>0</v>
      </c>
      <c r="O84" s="197" t="s">
        <v>172</v>
      </c>
      <c r="P84" s="197" t="str">
        <f t="shared" ref="P84:P101" si="44">cen.alt1</f>
        <v>Incorporação progressiva- pirtobrutinibe</v>
      </c>
      <c r="Q84" s="202">
        <f>'Market Share'!O10</f>
        <v>0</v>
      </c>
      <c r="R84" s="203">
        <f t="shared" ca="1" si="42"/>
        <v>14522801.580103004</v>
      </c>
      <c r="S84" s="204">
        <f t="shared" ca="1" si="42"/>
        <v>10384696.164967388</v>
      </c>
    </row>
    <row r="85" spans="1:19" x14ac:dyDescent="0.3">
      <c r="A85" s="198" t="str">
        <f>IF(AND(VALUE(RIGHT(O85,2))&lt;=controle_formulario!$E$16,VALUE(RIGHT(K85,2))&lt;=controle_formulario!$C$10,H85&lt;=Criterios!$C$31+controle_formulario!$I$16-1),"SIM","NÃO")</f>
        <v>NÃO</v>
      </c>
      <c r="B85" s="198">
        <f t="shared" si="32"/>
        <v>0</v>
      </c>
      <c r="C85" s="198" t="str">
        <f t="shared" si="33"/>
        <v>Formrol</v>
      </c>
      <c r="D85" s="179"/>
      <c r="E85" s="198" t="str">
        <f t="shared" si="34"/>
        <v>Planilha 1</v>
      </c>
      <c r="F85" s="198" t="str">
        <f t="shared" si="35"/>
        <v>Geral</v>
      </c>
      <c r="G85" s="198" t="s">
        <v>21</v>
      </c>
      <c r="H85" s="199">
        <f t="shared" si="41"/>
        <v>2029</v>
      </c>
      <c r="I85" s="200">
        <f t="shared" ca="1" si="41"/>
        <v>36.250027878529522</v>
      </c>
      <c r="J85" s="200" t="str">
        <f>IF(controle_formulario!$C$39=1,controle_formulario!$C$37,controle_formulario!$C$38)</f>
        <v>Epidemiologico Beneficiarios Saude Suplementar</v>
      </c>
      <c r="K85" s="197" t="s">
        <v>170</v>
      </c>
      <c r="L85" s="197">
        <f t="shared" si="40"/>
        <v>0</v>
      </c>
      <c r="M85" s="201">
        <f t="shared" si="43"/>
        <v>0</v>
      </c>
      <c r="N85" s="201">
        <f t="shared" si="43"/>
        <v>0</v>
      </c>
      <c r="O85" s="197" t="s">
        <v>172</v>
      </c>
      <c r="P85" s="197" t="str">
        <f t="shared" si="44"/>
        <v>Incorporação progressiva- pirtobrutinibe</v>
      </c>
      <c r="Q85" s="202">
        <f>'Market Share'!O11</f>
        <v>0</v>
      </c>
      <c r="R85" s="203">
        <f t="shared" ca="1" si="42"/>
        <v>15188058.83587864</v>
      </c>
      <c r="S85" s="204">
        <f t="shared" ca="1" si="42"/>
        <v>11037669.927079175</v>
      </c>
    </row>
    <row r="86" spans="1:19" x14ac:dyDescent="0.3">
      <c r="A86" s="198" t="str">
        <f>IF(AND(VALUE(RIGHT(O86,2))&lt;=controle_formulario!$E$16,VALUE(RIGHT(K86,2))&lt;=controle_formulario!$C$10,H86&lt;=Criterios!$C$31+controle_formulario!$I$16-1),"SIM","NÃO")</f>
        <v>NÃO</v>
      </c>
      <c r="B86" s="198">
        <f t="shared" si="32"/>
        <v>0</v>
      </c>
      <c r="C86" s="198" t="str">
        <f t="shared" si="33"/>
        <v>Formrol</v>
      </c>
      <c r="D86" s="179"/>
      <c r="E86" s="198" t="str">
        <f t="shared" si="34"/>
        <v>Planilha 1</v>
      </c>
      <c r="F86" s="198" t="str">
        <f t="shared" si="35"/>
        <v>Geral</v>
      </c>
      <c r="G86" s="198" t="s">
        <v>22</v>
      </c>
      <c r="H86" s="199">
        <f t="shared" si="41"/>
        <v>2030</v>
      </c>
      <c r="I86" s="200">
        <f t="shared" ca="1" si="41"/>
        <v>36.350592396534239</v>
      </c>
      <c r="J86" s="200" t="str">
        <f>IF(controle_formulario!$C$39=1,controle_formulario!$C$37,controle_formulario!$C$38)</f>
        <v>Epidemiologico Beneficiarios Saude Suplementar</v>
      </c>
      <c r="K86" s="197" t="s">
        <v>170</v>
      </c>
      <c r="L86" s="197">
        <f t="shared" si="40"/>
        <v>0</v>
      </c>
      <c r="M86" s="201">
        <f t="shared" si="43"/>
        <v>0</v>
      </c>
      <c r="N86" s="201">
        <f t="shared" si="43"/>
        <v>0</v>
      </c>
      <c r="O86" s="197" t="s">
        <v>172</v>
      </c>
      <c r="P86" s="197" t="str">
        <f t="shared" si="44"/>
        <v>Incorporação progressiva- pirtobrutinibe</v>
      </c>
      <c r="Q86" s="202">
        <f>'Market Share'!O12</f>
        <v>0</v>
      </c>
      <c r="R86" s="203">
        <f t="shared" ca="1" si="42"/>
        <v>15854067.353402093</v>
      </c>
      <c r="S86" s="204">
        <f t="shared" ca="1" si="42"/>
        <v>11692164.471108755</v>
      </c>
    </row>
    <row r="87" spans="1:19" x14ac:dyDescent="0.3">
      <c r="A87" s="198" t="str">
        <f>IF(AND(VALUE(RIGHT(O87,2))&lt;=controle_formulario!$E$16,VALUE(RIGHT(K87,2))&lt;=controle_formulario!$C$10,H87&lt;=Criterios!$C$31+controle_formulario!$I$16-1),"SIM","NÃO")</f>
        <v>NÃO</v>
      </c>
      <c r="B87" s="198">
        <f t="shared" si="32"/>
        <v>0</v>
      </c>
      <c r="C87" s="198" t="str">
        <f t="shared" si="33"/>
        <v>Formrol</v>
      </c>
      <c r="D87" s="179"/>
      <c r="E87" s="198" t="str">
        <f t="shared" si="34"/>
        <v>Planilha 1</v>
      </c>
      <c r="F87" s="198" t="str">
        <f t="shared" si="35"/>
        <v>Geral</v>
      </c>
      <c r="G87" s="198" t="s">
        <v>23</v>
      </c>
      <c r="H87" s="199">
        <f t="shared" si="41"/>
        <v>2031</v>
      </c>
      <c r="I87" s="200">
        <f t="shared" si="41"/>
        <v>0</v>
      </c>
      <c r="J87" s="200" t="str">
        <f>IF(controle_formulario!$C$39=1,controle_formulario!$C$37,controle_formulario!$C$38)</f>
        <v>Epidemiologico Beneficiarios Saude Suplementar</v>
      </c>
      <c r="K87" s="197" t="s">
        <v>170</v>
      </c>
      <c r="L87" s="197">
        <f t="shared" si="40"/>
        <v>0</v>
      </c>
      <c r="M87" s="201">
        <f t="shared" si="43"/>
        <v>0</v>
      </c>
      <c r="N87" s="201">
        <f t="shared" si="43"/>
        <v>0</v>
      </c>
      <c r="O87" s="197" t="s">
        <v>172</v>
      </c>
      <c r="P87" s="197" t="str">
        <f t="shared" si="44"/>
        <v>Incorporação progressiva- pirtobrutinibe</v>
      </c>
      <c r="Q87" s="202">
        <f>'Market Share'!O13</f>
        <v>0</v>
      </c>
      <c r="R87" s="203">
        <f t="shared" ca="1" si="42"/>
        <v>0</v>
      </c>
      <c r="S87" s="204">
        <f t="shared" ca="1" si="42"/>
        <v>0</v>
      </c>
    </row>
    <row r="88" spans="1:19" x14ac:dyDescent="0.3">
      <c r="A88" s="198" t="str">
        <f>IF(AND(VALUE(RIGHT(O88,2))&lt;=controle_formulario!$E$16,VALUE(RIGHT(K88,2))&lt;=controle_formulario!$C$10,H88&lt;=Criterios!$C$31+controle_formulario!$I$16-1),"SIM","NÃO")</f>
        <v>NÃO</v>
      </c>
      <c r="B88" s="198">
        <f t="shared" si="32"/>
        <v>0</v>
      </c>
      <c r="C88" s="198" t="str">
        <f t="shared" si="33"/>
        <v>Formrol</v>
      </c>
      <c r="D88" s="179"/>
      <c r="E88" s="198" t="str">
        <f t="shared" si="34"/>
        <v>Planilha 1</v>
      </c>
      <c r="F88" s="198" t="str">
        <f t="shared" si="35"/>
        <v>Geral</v>
      </c>
      <c r="G88" s="198" t="s">
        <v>24</v>
      </c>
      <c r="H88" s="199">
        <f t="shared" si="41"/>
        <v>2032</v>
      </c>
      <c r="I88" s="200">
        <f t="shared" si="41"/>
        <v>0</v>
      </c>
      <c r="J88" s="200" t="str">
        <f>IF(controle_formulario!$C$39=1,controle_formulario!$C$37,controle_formulario!$C$38)</f>
        <v>Epidemiologico Beneficiarios Saude Suplementar</v>
      </c>
      <c r="K88" s="197" t="s">
        <v>170</v>
      </c>
      <c r="L88" s="197">
        <f t="shared" si="40"/>
        <v>0</v>
      </c>
      <c r="M88" s="201">
        <f t="shared" si="43"/>
        <v>0</v>
      </c>
      <c r="N88" s="201">
        <f t="shared" si="43"/>
        <v>0</v>
      </c>
      <c r="O88" s="197" t="s">
        <v>172</v>
      </c>
      <c r="P88" s="197" t="str">
        <f t="shared" si="44"/>
        <v>Incorporação progressiva- pirtobrutinibe</v>
      </c>
      <c r="Q88" s="202">
        <f>'Market Share'!O14</f>
        <v>0</v>
      </c>
      <c r="R88" s="203">
        <f t="shared" ca="1" si="42"/>
        <v>0</v>
      </c>
      <c r="S88" s="204">
        <f t="shared" ca="1" si="42"/>
        <v>0</v>
      </c>
    </row>
    <row r="89" spans="1:19" x14ac:dyDescent="0.3">
      <c r="A89" s="198" t="str">
        <f>IF(AND(VALUE(RIGHT(O89,2))&lt;=controle_formulario!$E$16,VALUE(RIGHT(K89,2))&lt;=controle_formulario!$C$10,H89&lt;=Criterios!$C$31+controle_formulario!$I$16-1),"SIM","NÃO")</f>
        <v>NÃO</v>
      </c>
      <c r="B89" s="198">
        <f t="shared" si="32"/>
        <v>0</v>
      </c>
      <c r="C89" s="198" t="str">
        <f t="shared" si="33"/>
        <v>Formrol</v>
      </c>
      <c r="D89" s="179"/>
      <c r="E89" s="198" t="str">
        <f t="shared" si="34"/>
        <v>Planilha 1</v>
      </c>
      <c r="F89" s="198" t="str">
        <f t="shared" si="35"/>
        <v>Geral</v>
      </c>
      <c r="G89" s="198" t="s">
        <v>25</v>
      </c>
      <c r="H89" s="199">
        <f t="shared" si="41"/>
        <v>2033</v>
      </c>
      <c r="I89" s="200">
        <f t="shared" si="41"/>
        <v>0</v>
      </c>
      <c r="J89" s="200" t="str">
        <f>IF(controle_formulario!$C$39=1,controle_formulario!$C$37,controle_formulario!$C$38)</f>
        <v>Epidemiologico Beneficiarios Saude Suplementar</v>
      </c>
      <c r="K89" s="197" t="s">
        <v>170</v>
      </c>
      <c r="L89" s="197">
        <f t="shared" si="40"/>
        <v>0</v>
      </c>
      <c r="M89" s="201">
        <f t="shared" si="43"/>
        <v>0</v>
      </c>
      <c r="N89" s="201">
        <f t="shared" si="43"/>
        <v>0</v>
      </c>
      <c r="O89" s="197" t="s">
        <v>172</v>
      </c>
      <c r="P89" s="197" t="str">
        <f t="shared" si="44"/>
        <v>Incorporação progressiva- pirtobrutinibe</v>
      </c>
      <c r="Q89" s="202">
        <f>'Market Share'!O15</f>
        <v>0</v>
      </c>
      <c r="R89" s="203">
        <f t="shared" ca="1" si="42"/>
        <v>0</v>
      </c>
      <c r="S89" s="204">
        <f t="shared" ca="1" si="42"/>
        <v>0</v>
      </c>
    </row>
    <row r="90" spans="1:19" x14ac:dyDescent="0.3">
      <c r="A90" s="198" t="str">
        <f>IF(AND(VALUE(RIGHT(O90,2))&lt;=controle_formulario!$E$16,VALUE(RIGHT(K90,2))&lt;=controle_formulario!$C$10,H90&lt;=Criterios!$C$31+controle_formulario!$I$16-1),"SIM","NÃO")</f>
        <v>NÃO</v>
      </c>
      <c r="B90" s="198">
        <f t="shared" si="32"/>
        <v>0</v>
      </c>
      <c r="C90" s="198" t="str">
        <f t="shared" si="33"/>
        <v>Formrol</v>
      </c>
      <c r="D90" s="179"/>
      <c r="E90" s="198" t="str">
        <f t="shared" si="34"/>
        <v>Planilha 1</v>
      </c>
      <c r="F90" s="198" t="str">
        <f t="shared" si="35"/>
        <v>Geral</v>
      </c>
      <c r="G90" s="198" t="s">
        <v>26</v>
      </c>
      <c r="H90" s="199">
        <f t="shared" si="41"/>
        <v>2034</v>
      </c>
      <c r="I90" s="200">
        <f t="shared" si="41"/>
        <v>0</v>
      </c>
      <c r="J90" s="200" t="str">
        <f>IF(controle_formulario!$C$39=1,controle_formulario!$C$37,controle_formulario!$C$38)</f>
        <v>Epidemiologico Beneficiarios Saude Suplementar</v>
      </c>
      <c r="K90" s="197" t="s">
        <v>170</v>
      </c>
      <c r="L90" s="197">
        <f t="shared" si="40"/>
        <v>0</v>
      </c>
      <c r="M90" s="201">
        <f t="shared" si="43"/>
        <v>0</v>
      </c>
      <c r="N90" s="201">
        <f t="shared" si="43"/>
        <v>0</v>
      </c>
      <c r="O90" s="197" t="s">
        <v>172</v>
      </c>
      <c r="P90" s="197" t="str">
        <f t="shared" si="44"/>
        <v>Incorporação progressiva- pirtobrutinibe</v>
      </c>
      <c r="Q90" s="202">
        <f>'Market Share'!O16</f>
        <v>0</v>
      </c>
      <c r="R90" s="203">
        <f t="shared" ca="1" si="42"/>
        <v>0</v>
      </c>
      <c r="S90" s="204">
        <f t="shared" ca="1" si="42"/>
        <v>0</v>
      </c>
    </row>
    <row r="91" spans="1:19" ht="15" thickBot="1" x14ac:dyDescent="0.35">
      <c r="A91" s="205" t="str">
        <f>IF(AND(VALUE(RIGHT(O91,2))&lt;=controle_formulario!$E$16,VALUE(RIGHT(K91,2))&lt;=controle_formulario!$C$10,H91&lt;=Criterios!$C$31+controle_formulario!$I$16-1),"SIM","NÃO")</f>
        <v>NÃO</v>
      </c>
      <c r="B91" s="205">
        <f t="shared" si="32"/>
        <v>0</v>
      </c>
      <c r="C91" s="205" t="str">
        <f t="shared" si="33"/>
        <v>Formrol</v>
      </c>
      <c r="D91" s="180"/>
      <c r="E91" s="205" t="str">
        <f t="shared" si="34"/>
        <v>Planilha 1</v>
      </c>
      <c r="F91" s="205" t="str">
        <f t="shared" si="35"/>
        <v>Geral</v>
      </c>
      <c r="G91" s="205" t="s">
        <v>27</v>
      </c>
      <c r="H91" s="206">
        <f t="shared" si="41"/>
        <v>2035</v>
      </c>
      <c r="I91" s="207">
        <f t="shared" si="41"/>
        <v>0</v>
      </c>
      <c r="J91" s="207" t="str">
        <f>IF(controle_formulario!$C$39=1,controle_formulario!$C$37,controle_formulario!$C$38)</f>
        <v>Epidemiologico Beneficiarios Saude Suplementar</v>
      </c>
      <c r="K91" s="208" t="s">
        <v>170</v>
      </c>
      <c r="L91" s="208">
        <f t="shared" si="40"/>
        <v>0</v>
      </c>
      <c r="M91" s="201">
        <f t="shared" si="43"/>
        <v>0</v>
      </c>
      <c r="N91" s="201">
        <f t="shared" si="43"/>
        <v>0</v>
      </c>
      <c r="O91" s="214" t="s">
        <v>172</v>
      </c>
      <c r="P91" s="214" t="str">
        <f t="shared" si="44"/>
        <v>Incorporação progressiva- pirtobrutinibe</v>
      </c>
      <c r="Q91" s="215">
        <f>'Market Share'!O17</f>
        <v>0</v>
      </c>
      <c r="R91" s="216">
        <f t="shared" ca="1" si="42"/>
        <v>0</v>
      </c>
      <c r="S91" s="217">
        <f t="shared" ca="1" si="42"/>
        <v>0</v>
      </c>
    </row>
    <row r="92" spans="1:19" x14ac:dyDescent="0.3">
      <c r="A92" s="189" t="str">
        <f>IF(AND(VALUE(RIGHT(O92,2))&lt;=controle_formulario!$E$16,VALUE(RIGHT(K92,2))&lt;=controle_formulario!$C$10,H92&lt;=Criterios!$C$31+controle_formulario!$I$16-1),"SIM","NÃO")</f>
        <v>NÃO</v>
      </c>
      <c r="B92" s="189">
        <f t="shared" si="32"/>
        <v>0</v>
      </c>
      <c r="C92" s="189" t="str">
        <f t="shared" si="33"/>
        <v>Formrol</v>
      </c>
      <c r="D92" s="177"/>
      <c r="E92" s="189" t="str">
        <f t="shared" si="34"/>
        <v>Planilha 1</v>
      </c>
      <c r="F92" s="189" t="str">
        <f t="shared" si="35"/>
        <v>Geral</v>
      </c>
      <c r="G92" s="189" t="s">
        <v>18</v>
      </c>
      <c r="H92" s="190">
        <f>H82</f>
        <v>2026</v>
      </c>
      <c r="I92" s="191">
        <f ca="1">I82</f>
        <v>35.902021176061034</v>
      </c>
      <c r="J92" s="191" t="str">
        <f>IF(controle_formulario!$C$39=1,controle_formulario!$C$37,controle_formulario!$C$38)</f>
        <v>Epidemiologico Beneficiarios Saude Suplementar</v>
      </c>
      <c r="K92" s="192" t="s">
        <v>171</v>
      </c>
      <c r="L92" s="192">
        <f t="shared" ref="L92:L101" si="45">trat.d</f>
        <v>0</v>
      </c>
      <c r="M92" s="193">
        <f>Resumo!$D$42</f>
        <v>0</v>
      </c>
      <c r="N92" s="193">
        <f>Resumo!$D$51</f>
        <v>0</v>
      </c>
      <c r="O92" s="192" t="s">
        <v>172</v>
      </c>
      <c r="P92" s="192" t="str">
        <f t="shared" si="44"/>
        <v>Incorporação progressiva- pirtobrutinibe</v>
      </c>
      <c r="Q92" s="194">
        <f>'Market Share'!P8</f>
        <v>0</v>
      </c>
      <c r="R92" s="195">
        <f ca="1">R82</f>
        <v>13193725.037933065</v>
      </c>
      <c r="S92" s="196">
        <f ca="1">S82</f>
        <v>9083180.5994041599</v>
      </c>
    </row>
    <row r="93" spans="1:19" x14ac:dyDescent="0.3">
      <c r="A93" s="198" t="str">
        <f>IF(AND(VALUE(RIGHT(O93,2))&lt;=controle_formulario!$E$16,VALUE(RIGHT(K93,2))&lt;=controle_formulario!$C$10,H93&lt;=Criterios!$C$31+controle_formulario!$I$16-1),"SIM","NÃO")</f>
        <v>NÃO</v>
      </c>
      <c r="B93" s="198">
        <f t="shared" si="32"/>
        <v>0</v>
      </c>
      <c r="C93" s="198" t="str">
        <f t="shared" si="33"/>
        <v>Formrol</v>
      </c>
      <c r="D93" s="179"/>
      <c r="E93" s="198" t="str">
        <f t="shared" si="34"/>
        <v>Planilha 1</v>
      </c>
      <c r="F93" s="198" t="str">
        <f t="shared" si="35"/>
        <v>Geral</v>
      </c>
      <c r="G93" s="198" t="s">
        <v>19</v>
      </c>
      <c r="H93" s="199">
        <f t="shared" ref="H93:I101" si="46">H83</f>
        <v>2027</v>
      </c>
      <c r="I93" s="200">
        <f t="shared" ca="1" si="46"/>
        <v>36.027114594978322</v>
      </c>
      <c r="J93" s="200" t="str">
        <f>IF(controle_formulario!$C$39=1,controle_formulario!$C$37,controle_formulario!$C$38)</f>
        <v>Epidemiologico Beneficiarios Saude Suplementar</v>
      </c>
      <c r="K93" s="197" t="s">
        <v>171</v>
      </c>
      <c r="L93" s="197">
        <f t="shared" si="45"/>
        <v>0</v>
      </c>
      <c r="M93" s="201">
        <f>M92</f>
        <v>0</v>
      </c>
      <c r="N93" s="201">
        <f>N92</f>
        <v>0</v>
      </c>
      <c r="O93" s="197" t="s">
        <v>172</v>
      </c>
      <c r="P93" s="197" t="str">
        <f t="shared" si="44"/>
        <v>Incorporação progressiva- pirtobrutinibe</v>
      </c>
      <c r="Q93" s="202">
        <f>'Market Share'!P9</f>
        <v>0</v>
      </c>
      <c r="R93" s="203">
        <f t="shared" ref="R93:S101" ca="1" si="47">R83</f>
        <v>13858018.121687833</v>
      </c>
      <c r="S93" s="204">
        <f t="shared" ca="1" si="47"/>
        <v>9733151.3124237154</v>
      </c>
    </row>
    <row r="94" spans="1:19" x14ac:dyDescent="0.3">
      <c r="A94" s="198" t="str">
        <f>IF(AND(VALUE(RIGHT(O94,2))&lt;=controle_formulario!$E$16,VALUE(RIGHT(K94,2))&lt;=controle_formulario!$C$10,H94&lt;=Criterios!$C$31+controle_formulario!$I$16-1),"SIM","NÃO")</f>
        <v>NÃO</v>
      </c>
      <c r="B94" s="198">
        <f t="shared" si="32"/>
        <v>0</v>
      </c>
      <c r="C94" s="198" t="str">
        <f t="shared" si="33"/>
        <v>Formrol</v>
      </c>
      <c r="D94" s="179"/>
      <c r="E94" s="198" t="str">
        <f t="shared" si="34"/>
        <v>Planilha 1</v>
      </c>
      <c r="F94" s="198" t="str">
        <f t="shared" si="35"/>
        <v>Geral</v>
      </c>
      <c r="G94" s="198" t="s">
        <v>20</v>
      </c>
      <c r="H94" s="199">
        <f t="shared" si="46"/>
        <v>2028</v>
      </c>
      <c r="I94" s="200">
        <f t="shared" ca="1" si="46"/>
        <v>36.142742272880319</v>
      </c>
      <c r="J94" s="200" t="str">
        <f>IF(controle_formulario!$C$39=1,controle_formulario!$C$37,controle_formulario!$C$38)</f>
        <v>Epidemiologico Beneficiarios Saude Suplementar</v>
      </c>
      <c r="K94" s="197" t="s">
        <v>171</v>
      </c>
      <c r="L94" s="197">
        <f t="shared" si="45"/>
        <v>0</v>
      </c>
      <c r="M94" s="201">
        <f t="shared" ref="M94:N101" si="48">M93</f>
        <v>0</v>
      </c>
      <c r="N94" s="201">
        <f t="shared" si="48"/>
        <v>0</v>
      </c>
      <c r="O94" s="197" t="s">
        <v>172</v>
      </c>
      <c r="P94" s="197" t="str">
        <f t="shared" si="44"/>
        <v>Incorporação progressiva- pirtobrutinibe</v>
      </c>
      <c r="Q94" s="202">
        <f>'Market Share'!P10</f>
        <v>0</v>
      </c>
      <c r="R94" s="203">
        <f t="shared" ca="1" si="47"/>
        <v>14522801.580103004</v>
      </c>
      <c r="S94" s="204">
        <f t="shared" ca="1" si="47"/>
        <v>10384696.164967388</v>
      </c>
    </row>
    <row r="95" spans="1:19" x14ac:dyDescent="0.3">
      <c r="A95" s="198" t="str">
        <f>IF(AND(VALUE(RIGHT(O95,2))&lt;=controle_formulario!$E$16,VALUE(RIGHT(K95,2))&lt;=controle_formulario!$C$10,H95&lt;=Criterios!$C$31+controle_formulario!$I$16-1),"SIM","NÃO")</f>
        <v>NÃO</v>
      </c>
      <c r="B95" s="198">
        <f t="shared" si="32"/>
        <v>0</v>
      </c>
      <c r="C95" s="198" t="str">
        <f t="shared" si="33"/>
        <v>Formrol</v>
      </c>
      <c r="D95" s="179"/>
      <c r="E95" s="198" t="str">
        <f t="shared" si="34"/>
        <v>Planilha 1</v>
      </c>
      <c r="F95" s="198" t="str">
        <f t="shared" si="35"/>
        <v>Geral</v>
      </c>
      <c r="G95" s="198" t="s">
        <v>21</v>
      </c>
      <c r="H95" s="199">
        <f t="shared" si="46"/>
        <v>2029</v>
      </c>
      <c r="I95" s="200">
        <f t="shared" ca="1" si="46"/>
        <v>36.250027878529522</v>
      </c>
      <c r="J95" s="200" t="str">
        <f>IF(controle_formulario!$C$39=1,controle_formulario!$C$37,controle_formulario!$C$38)</f>
        <v>Epidemiologico Beneficiarios Saude Suplementar</v>
      </c>
      <c r="K95" s="197" t="s">
        <v>171</v>
      </c>
      <c r="L95" s="197">
        <f t="shared" si="45"/>
        <v>0</v>
      </c>
      <c r="M95" s="201">
        <f t="shared" si="48"/>
        <v>0</v>
      </c>
      <c r="N95" s="201">
        <f t="shared" si="48"/>
        <v>0</v>
      </c>
      <c r="O95" s="197" t="s">
        <v>172</v>
      </c>
      <c r="P95" s="197" t="str">
        <f t="shared" si="44"/>
        <v>Incorporação progressiva- pirtobrutinibe</v>
      </c>
      <c r="Q95" s="202">
        <f>'Market Share'!P11</f>
        <v>0</v>
      </c>
      <c r="R95" s="203">
        <f t="shared" ca="1" si="47"/>
        <v>15188058.83587864</v>
      </c>
      <c r="S95" s="204">
        <f t="shared" ca="1" si="47"/>
        <v>11037669.927079175</v>
      </c>
    </row>
    <row r="96" spans="1:19" x14ac:dyDescent="0.3">
      <c r="A96" s="198" t="str">
        <f>IF(AND(VALUE(RIGHT(O96,2))&lt;=controle_formulario!$E$16,VALUE(RIGHT(K96,2))&lt;=controle_formulario!$C$10,H96&lt;=Criterios!$C$31+controle_formulario!$I$16-1),"SIM","NÃO")</f>
        <v>NÃO</v>
      </c>
      <c r="B96" s="198">
        <f t="shared" si="32"/>
        <v>0</v>
      </c>
      <c r="C96" s="198" t="str">
        <f t="shared" si="33"/>
        <v>Formrol</v>
      </c>
      <c r="D96" s="179"/>
      <c r="E96" s="198" t="str">
        <f t="shared" si="34"/>
        <v>Planilha 1</v>
      </c>
      <c r="F96" s="198" t="str">
        <f t="shared" si="35"/>
        <v>Geral</v>
      </c>
      <c r="G96" s="198" t="s">
        <v>22</v>
      </c>
      <c r="H96" s="199">
        <f t="shared" si="46"/>
        <v>2030</v>
      </c>
      <c r="I96" s="200">
        <f t="shared" ca="1" si="46"/>
        <v>36.350592396534239</v>
      </c>
      <c r="J96" s="200" t="str">
        <f>IF(controle_formulario!$C$39=1,controle_formulario!$C$37,controle_formulario!$C$38)</f>
        <v>Epidemiologico Beneficiarios Saude Suplementar</v>
      </c>
      <c r="K96" s="197" t="s">
        <v>171</v>
      </c>
      <c r="L96" s="197">
        <f t="shared" si="45"/>
        <v>0</v>
      </c>
      <c r="M96" s="201">
        <f t="shared" si="48"/>
        <v>0</v>
      </c>
      <c r="N96" s="201">
        <f t="shared" si="48"/>
        <v>0</v>
      </c>
      <c r="O96" s="197" t="s">
        <v>172</v>
      </c>
      <c r="P96" s="197" t="str">
        <f t="shared" si="44"/>
        <v>Incorporação progressiva- pirtobrutinibe</v>
      </c>
      <c r="Q96" s="202">
        <f>'Market Share'!P12</f>
        <v>0</v>
      </c>
      <c r="R96" s="203">
        <f t="shared" ca="1" si="47"/>
        <v>15854067.353402093</v>
      </c>
      <c r="S96" s="204">
        <f t="shared" ca="1" si="47"/>
        <v>11692164.471108755</v>
      </c>
    </row>
    <row r="97" spans="1:19" x14ac:dyDescent="0.3">
      <c r="A97" s="198" t="str">
        <f>IF(AND(VALUE(RIGHT(O97,2))&lt;=controle_formulario!$E$16,VALUE(RIGHT(K97,2))&lt;=controle_formulario!$C$10,H97&lt;=Criterios!$C$31+controle_formulario!$I$16-1),"SIM","NÃO")</f>
        <v>NÃO</v>
      </c>
      <c r="B97" s="198">
        <f t="shared" si="32"/>
        <v>0</v>
      </c>
      <c r="C97" s="198" t="str">
        <f t="shared" si="33"/>
        <v>Formrol</v>
      </c>
      <c r="D97" s="179"/>
      <c r="E97" s="198" t="str">
        <f t="shared" si="34"/>
        <v>Planilha 1</v>
      </c>
      <c r="F97" s="198" t="str">
        <f t="shared" si="35"/>
        <v>Geral</v>
      </c>
      <c r="G97" s="198" t="s">
        <v>23</v>
      </c>
      <c r="H97" s="199">
        <f t="shared" si="46"/>
        <v>2031</v>
      </c>
      <c r="I97" s="200">
        <f t="shared" si="46"/>
        <v>0</v>
      </c>
      <c r="J97" s="200" t="str">
        <f>IF(controle_formulario!$C$39=1,controle_formulario!$C$37,controle_formulario!$C$38)</f>
        <v>Epidemiologico Beneficiarios Saude Suplementar</v>
      </c>
      <c r="K97" s="197" t="s">
        <v>171</v>
      </c>
      <c r="L97" s="197">
        <f t="shared" si="45"/>
        <v>0</v>
      </c>
      <c r="M97" s="201">
        <f t="shared" si="48"/>
        <v>0</v>
      </c>
      <c r="N97" s="201">
        <f t="shared" si="48"/>
        <v>0</v>
      </c>
      <c r="O97" s="197" t="s">
        <v>172</v>
      </c>
      <c r="P97" s="197" t="str">
        <f t="shared" si="44"/>
        <v>Incorporação progressiva- pirtobrutinibe</v>
      </c>
      <c r="Q97" s="202">
        <f>'Market Share'!P13</f>
        <v>0</v>
      </c>
      <c r="R97" s="203">
        <f t="shared" ca="1" si="47"/>
        <v>0</v>
      </c>
      <c r="S97" s="204">
        <f t="shared" ca="1" si="47"/>
        <v>0</v>
      </c>
    </row>
    <row r="98" spans="1:19" x14ac:dyDescent="0.3">
      <c r="A98" s="198" t="str">
        <f>IF(AND(VALUE(RIGHT(O98,2))&lt;=controle_formulario!$E$16,VALUE(RIGHT(K98,2))&lt;=controle_formulario!$C$10,H98&lt;=Criterios!$C$31+controle_formulario!$I$16-1),"SIM","NÃO")</f>
        <v>NÃO</v>
      </c>
      <c r="B98" s="198">
        <f t="shared" si="32"/>
        <v>0</v>
      </c>
      <c r="C98" s="198" t="str">
        <f t="shared" si="33"/>
        <v>Formrol</v>
      </c>
      <c r="D98" s="179"/>
      <c r="E98" s="198" t="str">
        <f t="shared" si="34"/>
        <v>Planilha 1</v>
      </c>
      <c r="F98" s="198" t="str">
        <f t="shared" si="35"/>
        <v>Geral</v>
      </c>
      <c r="G98" s="198" t="s">
        <v>24</v>
      </c>
      <c r="H98" s="199">
        <f t="shared" si="46"/>
        <v>2032</v>
      </c>
      <c r="I98" s="200">
        <f t="shared" si="46"/>
        <v>0</v>
      </c>
      <c r="J98" s="200" t="str">
        <f>IF(controle_formulario!$C$39=1,controle_formulario!$C$37,controle_formulario!$C$38)</f>
        <v>Epidemiologico Beneficiarios Saude Suplementar</v>
      </c>
      <c r="K98" s="197" t="s">
        <v>171</v>
      </c>
      <c r="L98" s="197">
        <f t="shared" si="45"/>
        <v>0</v>
      </c>
      <c r="M98" s="201">
        <f t="shared" si="48"/>
        <v>0</v>
      </c>
      <c r="N98" s="201">
        <f t="shared" si="48"/>
        <v>0</v>
      </c>
      <c r="O98" s="197" t="s">
        <v>172</v>
      </c>
      <c r="P98" s="197" t="str">
        <f t="shared" si="44"/>
        <v>Incorporação progressiva- pirtobrutinibe</v>
      </c>
      <c r="Q98" s="202">
        <f>'Market Share'!P14</f>
        <v>0</v>
      </c>
      <c r="R98" s="203">
        <f t="shared" ca="1" si="47"/>
        <v>0</v>
      </c>
      <c r="S98" s="204">
        <f t="shared" ca="1" si="47"/>
        <v>0</v>
      </c>
    </row>
    <row r="99" spans="1:19" x14ac:dyDescent="0.3">
      <c r="A99" s="198" t="str">
        <f>IF(AND(VALUE(RIGHT(O99,2))&lt;=controle_formulario!$E$16,VALUE(RIGHT(K99,2))&lt;=controle_formulario!$C$10,H99&lt;=Criterios!$C$31+controle_formulario!$I$16-1),"SIM","NÃO")</f>
        <v>NÃO</v>
      </c>
      <c r="B99" s="198">
        <f t="shared" si="32"/>
        <v>0</v>
      </c>
      <c r="C99" s="198" t="str">
        <f t="shared" si="33"/>
        <v>Formrol</v>
      </c>
      <c r="D99" s="179"/>
      <c r="E99" s="198" t="str">
        <f t="shared" si="34"/>
        <v>Planilha 1</v>
      </c>
      <c r="F99" s="198" t="str">
        <f t="shared" si="35"/>
        <v>Geral</v>
      </c>
      <c r="G99" s="198" t="s">
        <v>25</v>
      </c>
      <c r="H99" s="199">
        <f t="shared" si="46"/>
        <v>2033</v>
      </c>
      <c r="I99" s="200">
        <f t="shared" si="46"/>
        <v>0</v>
      </c>
      <c r="J99" s="200" t="str">
        <f>IF(controle_formulario!$C$39=1,controle_formulario!$C$37,controle_formulario!$C$38)</f>
        <v>Epidemiologico Beneficiarios Saude Suplementar</v>
      </c>
      <c r="K99" s="197" t="s">
        <v>171</v>
      </c>
      <c r="L99" s="197">
        <f t="shared" si="45"/>
        <v>0</v>
      </c>
      <c r="M99" s="201">
        <f t="shared" si="48"/>
        <v>0</v>
      </c>
      <c r="N99" s="201">
        <f t="shared" si="48"/>
        <v>0</v>
      </c>
      <c r="O99" s="197" t="s">
        <v>172</v>
      </c>
      <c r="P99" s="197" t="str">
        <f t="shared" si="44"/>
        <v>Incorporação progressiva- pirtobrutinibe</v>
      </c>
      <c r="Q99" s="202">
        <f>'Market Share'!P15</f>
        <v>0</v>
      </c>
      <c r="R99" s="203">
        <f t="shared" ca="1" si="47"/>
        <v>0</v>
      </c>
      <c r="S99" s="204">
        <f t="shared" ca="1" si="47"/>
        <v>0</v>
      </c>
    </row>
    <row r="100" spans="1:19" x14ac:dyDescent="0.3">
      <c r="A100" s="198" t="str">
        <f>IF(AND(VALUE(RIGHT(O100,2))&lt;=controle_formulario!$E$16,VALUE(RIGHT(K100,2))&lt;=controle_formulario!$C$10,H100&lt;=Criterios!$C$31+controle_formulario!$I$16-1),"SIM","NÃO")</f>
        <v>NÃO</v>
      </c>
      <c r="B100" s="198">
        <f t="shared" si="32"/>
        <v>0</v>
      </c>
      <c r="C100" s="198" t="str">
        <f t="shared" si="33"/>
        <v>Formrol</v>
      </c>
      <c r="D100" s="179"/>
      <c r="E100" s="198" t="str">
        <f t="shared" si="34"/>
        <v>Planilha 1</v>
      </c>
      <c r="F100" s="198" t="str">
        <f t="shared" si="35"/>
        <v>Geral</v>
      </c>
      <c r="G100" s="198" t="s">
        <v>26</v>
      </c>
      <c r="H100" s="199">
        <f t="shared" si="46"/>
        <v>2034</v>
      </c>
      <c r="I100" s="200">
        <f t="shared" si="46"/>
        <v>0</v>
      </c>
      <c r="J100" s="200" t="str">
        <f>IF(controle_formulario!$C$39=1,controle_formulario!$C$37,controle_formulario!$C$38)</f>
        <v>Epidemiologico Beneficiarios Saude Suplementar</v>
      </c>
      <c r="K100" s="197" t="s">
        <v>171</v>
      </c>
      <c r="L100" s="197">
        <f t="shared" si="45"/>
        <v>0</v>
      </c>
      <c r="M100" s="201">
        <f t="shared" si="48"/>
        <v>0</v>
      </c>
      <c r="N100" s="201">
        <f t="shared" si="48"/>
        <v>0</v>
      </c>
      <c r="O100" s="197" t="s">
        <v>172</v>
      </c>
      <c r="P100" s="197" t="str">
        <f t="shared" si="44"/>
        <v>Incorporação progressiva- pirtobrutinibe</v>
      </c>
      <c r="Q100" s="202">
        <f>'Market Share'!P16</f>
        <v>0</v>
      </c>
      <c r="R100" s="203">
        <f t="shared" ca="1" si="47"/>
        <v>0</v>
      </c>
      <c r="S100" s="204">
        <f t="shared" ca="1" si="47"/>
        <v>0</v>
      </c>
    </row>
    <row r="101" spans="1:19" ht="15" thickBot="1" x14ac:dyDescent="0.35">
      <c r="A101" s="205" t="str">
        <f>IF(AND(VALUE(RIGHT(O101,2))&lt;=controle_formulario!$E$16,VALUE(RIGHT(K101,2))&lt;=controle_formulario!$C$10,H101&lt;=Criterios!$C$31+controle_formulario!$I$16-1),"SIM","NÃO")</f>
        <v>NÃO</v>
      </c>
      <c r="B101" s="205">
        <f t="shared" si="32"/>
        <v>0</v>
      </c>
      <c r="C101" s="205" t="str">
        <f t="shared" si="33"/>
        <v>Formrol</v>
      </c>
      <c r="D101" s="180"/>
      <c r="E101" s="205" t="str">
        <f t="shared" si="34"/>
        <v>Planilha 1</v>
      </c>
      <c r="F101" s="205" t="str">
        <f t="shared" si="35"/>
        <v>Geral</v>
      </c>
      <c r="G101" s="205" t="s">
        <v>27</v>
      </c>
      <c r="H101" s="212">
        <f t="shared" si="46"/>
        <v>2035</v>
      </c>
      <c r="I101" s="213">
        <f t="shared" si="46"/>
        <v>0</v>
      </c>
      <c r="J101" s="213" t="str">
        <f>IF(controle_formulario!$C$39=1,controle_formulario!$C$37,controle_formulario!$C$38)</f>
        <v>Epidemiologico Beneficiarios Saude Suplementar</v>
      </c>
      <c r="K101" s="214" t="s">
        <v>171</v>
      </c>
      <c r="L101" s="214">
        <f t="shared" si="45"/>
        <v>0</v>
      </c>
      <c r="M101" s="201">
        <f t="shared" si="48"/>
        <v>0</v>
      </c>
      <c r="N101" s="201">
        <f t="shared" si="48"/>
        <v>0</v>
      </c>
      <c r="O101" s="214" t="s">
        <v>172</v>
      </c>
      <c r="P101" s="214" t="str">
        <f t="shared" si="44"/>
        <v>Incorporação progressiva- pirtobrutinibe</v>
      </c>
      <c r="Q101" s="215">
        <f>'Market Share'!P17</f>
        <v>0</v>
      </c>
      <c r="R101" s="216">
        <f t="shared" ca="1" si="47"/>
        <v>0</v>
      </c>
      <c r="S101" s="217">
        <f t="shared" ca="1" si="47"/>
        <v>0</v>
      </c>
    </row>
    <row r="102" spans="1:19" x14ac:dyDescent="0.3">
      <c r="A102" s="189" t="str">
        <f>IF(AND(VALUE(RIGHT(O102,2))&lt;=controle_formulario!$E$16,H102&lt;=Criterios!$C$31+controle_formulario!$I$16-1),"SIM","NÃO")</f>
        <v>NÃO</v>
      </c>
      <c r="B102" s="189">
        <f t="shared" si="32"/>
        <v>0</v>
      </c>
      <c r="C102" s="189" t="str">
        <f t="shared" si="33"/>
        <v>Formrol</v>
      </c>
      <c r="D102" s="177"/>
      <c r="E102" s="189" t="str">
        <f t="shared" si="34"/>
        <v>Planilha 1</v>
      </c>
      <c r="F102" s="189" t="str">
        <f t="shared" si="35"/>
        <v>Geral</v>
      </c>
      <c r="G102" s="189" t="s">
        <v>18</v>
      </c>
      <c r="H102" s="190">
        <f>H92</f>
        <v>2026</v>
      </c>
      <c r="I102" s="191">
        <f ca="1">I92</f>
        <v>35.902021176061034</v>
      </c>
      <c r="J102" s="191" t="str">
        <f>IF(controle_formulario!$C$39=1,controle_formulario!$C$37,controle_formulario!$C$38)</f>
        <v>Epidemiologico Beneficiarios Saude Suplementar</v>
      </c>
      <c r="K102" s="192" t="s">
        <v>157</v>
      </c>
      <c r="L102" s="192" t="str">
        <f t="shared" ref="L102:L111" si="49">trat.novo</f>
        <v>Pirtobrutinibe</v>
      </c>
      <c r="M102" s="193">
        <f>Resumo!$D$38</f>
        <v>470468.67999999976</v>
      </c>
      <c r="N102" s="193">
        <f>Resumo!$D$47</f>
        <v>0</v>
      </c>
      <c r="O102" s="192" t="s">
        <v>173</v>
      </c>
      <c r="P102" s="192">
        <f t="shared" ref="P102:P133" si="50">cen.alt2</f>
        <v>0</v>
      </c>
      <c r="Q102" s="194">
        <f>'Market Share'!D24</f>
        <v>0.8</v>
      </c>
      <c r="R102" s="195">
        <f ca="1">Resumo!F56</f>
        <v>14426075.529299868</v>
      </c>
      <c r="S102" s="196">
        <f ca="1">Resumo!F72</f>
        <v>10315531.090770964</v>
      </c>
    </row>
    <row r="103" spans="1:19" x14ac:dyDescent="0.3">
      <c r="A103" s="198" t="str">
        <f>IF(AND(VALUE(RIGHT(O103,2))&lt;=controle_formulario!$E$16,H103&lt;=Criterios!$C$31+controle_formulario!$I$16-1),"SIM","NÃO")</f>
        <v>NÃO</v>
      </c>
      <c r="B103" s="198">
        <f t="shared" si="32"/>
        <v>0</v>
      </c>
      <c r="C103" s="198" t="str">
        <f t="shared" si="33"/>
        <v>Formrol</v>
      </c>
      <c r="D103" s="179"/>
      <c r="E103" s="198" t="str">
        <f t="shared" si="34"/>
        <v>Planilha 1</v>
      </c>
      <c r="F103" s="198" t="str">
        <f t="shared" si="35"/>
        <v>Geral</v>
      </c>
      <c r="G103" s="198" t="s">
        <v>19</v>
      </c>
      <c r="H103" s="199">
        <f t="shared" ref="H103:I111" si="51">H93</f>
        <v>2027</v>
      </c>
      <c r="I103" s="200">
        <f t="shared" ca="1" si="51"/>
        <v>36.027114594978322</v>
      </c>
      <c r="J103" s="200" t="str">
        <f>IF(controle_formulario!$C$39=1,controle_formulario!$C$37,controle_formulario!$C$38)</f>
        <v>Epidemiologico Beneficiarios Saude Suplementar</v>
      </c>
      <c r="K103" s="197" t="s">
        <v>157</v>
      </c>
      <c r="L103" s="197" t="str">
        <f t="shared" si="49"/>
        <v>Pirtobrutinibe</v>
      </c>
      <c r="M103" s="201">
        <f>M102</f>
        <v>470468.67999999976</v>
      </c>
      <c r="N103" s="201">
        <f>N102</f>
        <v>0</v>
      </c>
      <c r="O103" s="197" t="s">
        <v>173</v>
      </c>
      <c r="P103" s="197">
        <f t="shared" si="50"/>
        <v>0</v>
      </c>
      <c r="Q103" s="202">
        <f>'Market Share'!D25</f>
        <v>0.9</v>
      </c>
      <c r="R103" s="203">
        <f ca="1">Resumo!F57</f>
        <v>15712984.677300038</v>
      </c>
      <c r="S103" s="204">
        <f ca="1">Resumo!F73</f>
        <v>11588117.86803592</v>
      </c>
    </row>
    <row r="104" spans="1:19" x14ac:dyDescent="0.3">
      <c r="A104" s="198" t="str">
        <f>IF(AND(VALUE(RIGHT(O104,2))&lt;=controle_formulario!$E$16,H104&lt;=Criterios!$C$31+controle_formulario!$I$16-1),"SIM","NÃO")</f>
        <v>NÃO</v>
      </c>
      <c r="B104" s="198">
        <f t="shared" si="32"/>
        <v>0</v>
      </c>
      <c r="C104" s="198" t="str">
        <f t="shared" si="33"/>
        <v>Formrol</v>
      </c>
      <c r="D104" s="179"/>
      <c r="E104" s="198" t="str">
        <f t="shared" si="34"/>
        <v>Planilha 1</v>
      </c>
      <c r="F104" s="198" t="str">
        <f t="shared" si="35"/>
        <v>Geral</v>
      </c>
      <c r="G104" s="198" t="s">
        <v>20</v>
      </c>
      <c r="H104" s="199">
        <f t="shared" si="51"/>
        <v>2028</v>
      </c>
      <c r="I104" s="200">
        <f t="shared" ca="1" si="51"/>
        <v>36.142742272880319</v>
      </c>
      <c r="J104" s="200" t="str">
        <f>IF(controle_formulario!$C$39=1,controle_formulario!$C$37,controle_formulario!$C$38)</f>
        <v>Epidemiologico Beneficiarios Saude Suplementar</v>
      </c>
      <c r="K104" s="197" t="s">
        <v>157</v>
      </c>
      <c r="L104" s="197" t="str">
        <f t="shared" si="49"/>
        <v>Pirtobrutinibe</v>
      </c>
      <c r="M104" s="201">
        <f t="shared" ref="M104:N111" si="52">M103</f>
        <v>470468.67999999976</v>
      </c>
      <c r="N104" s="201">
        <f t="shared" si="52"/>
        <v>0</v>
      </c>
      <c r="O104" s="197" t="s">
        <v>173</v>
      </c>
      <c r="P104" s="197">
        <f t="shared" si="50"/>
        <v>0</v>
      </c>
      <c r="Q104" s="202">
        <f>'Market Share'!D26</f>
        <v>0.9</v>
      </c>
      <c r="R104" s="203">
        <f ca="1">Resumo!F58</f>
        <v>15763414.9144026</v>
      </c>
      <c r="S104" s="204">
        <f ca="1">Resumo!F74</f>
        <v>11625309.499266984</v>
      </c>
    </row>
    <row r="105" spans="1:19" x14ac:dyDescent="0.3">
      <c r="A105" s="198" t="str">
        <f>IF(AND(VALUE(RIGHT(O105,2))&lt;=controle_formulario!$E$16,H105&lt;=Criterios!$C$31+controle_formulario!$I$16-1),"SIM","NÃO")</f>
        <v>NÃO</v>
      </c>
      <c r="B105" s="198">
        <f t="shared" si="32"/>
        <v>0</v>
      </c>
      <c r="C105" s="198" t="str">
        <f t="shared" si="33"/>
        <v>Formrol</v>
      </c>
      <c r="D105" s="179"/>
      <c r="E105" s="198" t="str">
        <f t="shared" si="34"/>
        <v>Planilha 1</v>
      </c>
      <c r="F105" s="198" t="str">
        <f t="shared" si="35"/>
        <v>Geral</v>
      </c>
      <c r="G105" s="198" t="s">
        <v>21</v>
      </c>
      <c r="H105" s="199">
        <f t="shared" si="51"/>
        <v>2029</v>
      </c>
      <c r="I105" s="200">
        <f t="shared" ca="1" si="51"/>
        <v>36.250027878529522</v>
      </c>
      <c r="J105" s="200" t="str">
        <f>IF(controle_formulario!$C$39=1,controle_formulario!$C$37,controle_formulario!$C$38)</f>
        <v>Epidemiologico Beneficiarios Saude Suplementar</v>
      </c>
      <c r="K105" s="197" t="s">
        <v>157</v>
      </c>
      <c r="L105" s="197" t="str">
        <f t="shared" si="49"/>
        <v>Pirtobrutinibe</v>
      </c>
      <c r="M105" s="201">
        <f t="shared" si="52"/>
        <v>470468.67999999976</v>
      </c>
      <c r="N105" s="201">
        <f t="shared" si="52"/>
        <v>0</v>
      </c>
      <c r="O105" s="197" t="s">
        <v>173</v>
      </c>
      <c r="P105" s="197">
        <f t="shared" si="50"/>
        <v>0</v>
      </c>
      <c r="Q105" s="202">
        <f>'Market Share'!D27</f>
        <v>0.9</v>
      </c>
      <c r="R105" s="203">
        <f ca="1">Resumo!F59</f>
        <v>15810206.812577421</v>
      </c>
      <c r="S105" s="204">
        <f ca="1">Resumo!F75</f>
        <v>11659817.903777955</v>
      </c>
    </row>
    <row r="106" spans="1:19" x14ac:dyDescent="0.3">
      <c r="A106" s="198" t="str">
        <f>IF(AND(VALUE(RIGHT(O106,2))&lt;=controle_formulario!$E$16,H106&lt;=Criterios!$C$31+controle_formulario!$I$16-1),"SIM","NÃO")</f>
        <v>NÃO</v>
      </c>
      <c r="B106" s="198">
        <f t="shared" si="32"/>
        <v>0</v>
      </c>
      <c r="C106" s="198" t="str">
        <f t="shared" si="33"/>
        <v>Formrol</v>
      </c>
      <c r="D106" s="179"/>
      <c r="E106" s="198" t="str">
        <f t="shared" si="34"/>
        <v>Planilha 1</v>
      </c>
      <c r="F106" s="198" t="str">
        <f t="shared" si="35"/>
        <v>Geral</v>
      </c>
      <c r="G106" s="198" t="s">
        <v>22</v>
      </c>
      <c r="H106" s="199">
        <f t="shared" si="51"/>
        <v>2030</v>
      </c>
      <c r="I106" s="200">
        <f t="shared" ca="1" si="51"/>
        <v>36.350592396534239</v>
      </c>
      <c r="J106" s="200" t="str">
        <f>IF(controle_formulario!$C$39=1,controle_formulario!$C$37,controle_formulario!$C$38)</f>
        <v>Epidemiologico Beneficiarios Saude Suplementar</v>
      </c>
      <c r="K106" s="197" t="s">
        <v>157</v>
      </c>
      <c r="L106" s="197" t="str">
        <f t="shared" si="49"/>
        <v>Pirtobrutinibe</v>
      </c>
      <c r="M106" s="201">
        <f t="shared" si="52"/>
        <v>470468.67999999976</v>
      </c>
      <c r="N106" s="201">
        <f t="shared" si="52"/>
        <v>0</v>
      </c>
      <c r="O106" s="197" t="s">
        <v>173</v>
      </c>
      <c r="P106" s="197">
        <f t="shared" si="50"/>
        <v>0</v>
      </c>
      <c r="Q106" s="202">
        <f>'Market Share'!D28</f>
        <v>0.9</v>
      </c>
      <c r="R106" s="203">
        <f ca="1">Resumo!F60</f>
        <v>15854067.353402093</v>
      </c>
      <c r="S106" s="204">
        <f ca="1">Resumo!F76</f>
        <v>11692164.471108755</v>
      </c>
    </row>
    <row r="107" spans="1:19" x14ac:dyDescent="0.3">
      <c r="A107" s="198" t="str">
        <f>IF(AND(VALUE(RIGHT(O107,2))&lt;=controle_formulario!$E$16,H107&lt;=Criterios!$C$31+controle_formulario!$I$16-1),"SIM","NÃO")</f>
        <v>NÃO</v>
      </c>
      <c r="B107" s="198">
        <f t="shared" si="32"/>
        <v>0</v>
      </c>
      <c r="C107" s="198" t="str">
        <f t="shared" si="33"/>
        <v>Formrol</v>
      </c>
      <c r="D107" s="179"/>
      <c r="E107" s="198" t="str">
        <f t="shared" si="34"/>
        <v>Planilha 1</v>
      </c>
      <c r="F107" s="198" t="str">
        <f t="shared" si="35"/>
        <v>Geral</v>
      </c>
      <c r="G107" s="198" t="s">
        <v>23</v>
      </c>
      <c r="H107" s="199">
        <f t="shared" si="51"/>
        <v>2031</v>
      </c>
      <c r="I107" s="200">
        <f t="shared" si="51"/>
        <v>0</v>
      </c>
      <c r="J107" s="200" t="str">
        <f>IF(controle_formulario!$C$39=1,controle_formulario!$C$37,controle_formulario!$C$38)</f>
        <v>Epidemiologico Beneficiarios Saude Suplementar</v>
      </c>
      <c r="K107" s="197" t="s">
        <v>157</v>
      </c>
      <c r="L107" s="197" t="str">
        <f t="shared" si="49"/>
        <v>Pirtobrutinibe</v>
      </c>
      <c r="M107" s="201">
        <f t="shared" si="52"/>
        <v>470468.67999999976</v>
      </c>
      <c r="N107" s="201">
        <f t="shared" si="52"/>
        <v>0</v>
      </c>
      <c r="O107" s="197" t="s">
        <v>173</v>
      </c>
      <c r="P107" s="197">
        <f t="shared" si="50"/>
        <v>0</v>
      </c>
      <c r="Q107" s="202">
        <f>'Market Share'!D29</f>
        <v>0</v>
      </c>
      <c r="R107" s="203">
        <f ca="1">Resumo!F61</f>
        <v>0</v>
      </c>
      <c r="S107" s="204">
        <f ca="1">Resumo!F77</f>
        <v>0</v>
      </c>
    </row>
    <row r="108" spans="1:19" x14ac:dyDescent="0.3">
      <c r="A108" s="198" t="str">
        <f>IF(AND(VALUE(RIGHT(O108,2))&lt;=controle_formulario!$E$16,H108&lt;=Criterios!$C$31+controle_formulario!$I$16-1),"SIM","NÃO")</f>
        <v>NÃO</v>
      </c>
      <c r="B108" s="198">
        <f t="shared" si="32"/>
        <v>0</v>
      </c>
      <c r="C108" s="198" t="str">
        <f t="shared" si="33"/>
        <v>Formrol</v>
      </c>
      <c r="D108" s="179"/>
      <c r="E108" s="198" t="str">
        <f t="shared" si="34"/>
        <v>Planilha 1</v>
      </c>
      <c r="F108" s="198" t="str">
        <f t="shared" si="35"/>
        <v>Geral</v>
      </c>
      <c r="G108" s="198" t="s">
        <v>24</v>
      </c>
      <c r="H108" s="199">
        <f t="shared" si="51"/>
        <v>2032</v>
      </c>
      <c r="I108" s="200">
        <f t="shared" si="51"/>
        <v>0</v>
      </c>
      <c r="J108" s="200" t="str">
        <f>IF(controle_formulario!$C$39=1,controle_formulario!$C$37,controle_formulario!$C$38)</f>
        <v>Epidemiologico Beneficiarios Saude Suplementar</v>
      </c>
      <c r="K108" s="197" t="s">
        <v>157</v>
      </c>
      <c r="L108" s="197" t="str">
        <f t="shared" si="49"/>
        <v>Pirtobrutinibe</v>
      </c>
      <c r="M108" s="201">
        <f t="shared" si="52"/>
        <v>470468.67999999976</v>
      </c>
      <c r="N108" s="201">
        <f t="shared" si="52"/>
        <v>0</v>
      </c>
      <c r="O108" s="197" t="s">
        <v>173</v>
      </c>
      <c r="P108" s="197">
        <f t="shared" si="50"/>
        <v>0</v>
      </c>
      <c r="Q108" s="202">
        <f>'Market Share'!D30</f>
        <v>0</v>
      </c>
      <c r="R108" s="203">
        <f ca="1">Resumo!F62</f>
        <v>0</v>
      </c>
      <c r="S108" s="204">
        <f ca="1">Resumo!F78</f>
        <v>0</v>
      </c>
    </row>
    <row r="109" spans="1:19" x14ac:dyDescent="0.3">
      <c r="A109" s="198" t="str">
        <f>IF(AND(VALUE(RIGHT(O109,2))&lt;=controle_formulario!$E$16,H109&lt;=Criterios!$C$31+controle_formulario!$I$16-1),"SIM","NÃO")</f>
        <v>NÃO</v>
      </c>
      <c r="B109" s="198">
        <f t="shared" si="32"/>
        <v>0</v>
      </c>
      <c r="C109" s="198" t="str">
        <f t="shared" si="33"/>
        <v>Formrol</v>
      </c>
      <c r="D109" s="179"/>
      <c r="E109" s="198" t="str">
        <f t="shared" si="34"/>
        <v>Planilha 1</v>
      </c>
      <c r="F109" s="198" t="str">
        <f t="shared" si="35"/>
        <v>Geral</v>
      </c>
      <c r="G109" s="198" t="s">
        <v>25</v>
      </c>
      <c r="H109" s="199">
        <f t="shared" si="51"/>
        <v>2033</v>
      </c>
      <c r="I109" s="200">
        <f t="shared" si="51"/>
        <v>0</v>
      </c>
      <c r="J109" s="200" t="str">
        <f>IF(controle_formulario!$C$39=1,controle_formulario!$C$37,controle_formulario!$C$38)</f>
        <v>Epidemiologico Beneficiarios Saude Suplementar</v>
      </c>
      <c r="K109" s="197" t="s">
        <v>157</v>
      </c>
      <c r="L109" s="197" t="str">
        <f t="shared" si="49"/>
        <v>Pirtobrutinibe</v>
      </c>
      <c r="M109" s="201">
        <f t="shared" si="52"/>
        <v>470468.67999999976</v>
      </c>
      <c r="N109" s="201">
        <f t="shared" si="52"/>
        <v>0</v>
      </c>
      <c r="O109" s="197" t="s">
        <v>173</v>
      </c>
      <c r="P109" s="197">
        <f t="shared" si="50"/>
        <v>0</v>
      </c>
      <c r="Q109" s="202">
        <f>'Market Share'!D31</f>
        <v>0</v>
      </c>
      <c r="R109" s="203">
        <f ca="1">Resumo!F63</f>
        <v>0</v>
      </c>
      <c r="S109" s="204">
        <f ca="1">Resumo!F79</f>
        <v>0</v>
      </c>
    </row>
    <row r="110" spans="1:19" x14ac:dyDescent="0.3">
      <c r="A110" s="198" t="str">
        <f>IF(AND(VALUE(RIGHT(O110,2))&lt;=controle_formulario!$E$16,H110&lt;=Criterios!$C$31+controle_formulario!$I$16-1),"SIM","NÃO")</f>
        <v>NÃO</v>
      </c>
      <c r="B110" s="198">
        <f t="shared" si="32"/>
        <v>0</v>
      </c>
      <c r="C110" s="198" t="str">
        <f t="shared" si="33"/>
        <v>Formrol</v>
      </c>
      <c r="D110" s="179"/>
      <c r="E110" s="198" t="str">
        <f t="shared" si="34"/>
        <v>Planilha 1</v>
      </c>
      <c r="F110" s="198" t="str">
        <f t="shared" si="35"/>
        <v>Geral</v>
      </c>
      <c r="G110" s="198" t="s">
        <v>26</v>
      </c>
      <c r="H110" s="199">
        <f t="shared" si="51"/>
        <v>2034</v>
      </c>
      <c r="I110" s="200">
        <f t="shared" si="51"/>
        <v>0</v>
      </c>
      <c r="J110" s="200" t="str">
        <f>IF(controle_formulario!$C$39=1,controle_formulario!$C$37,controle_formulario!$C$38)</f>
        <v>Epidemiologico Beneficiarios Saude Suplementar</v>
      </c>
      <c r="K110" s="197" t="s">
        <v>157</v>
      </c>
      <c r="L110" s="197" t="str">
        <f t="shared" si="49"/>
        <v>Pirtobrutinibe</v>
      </c>
      <c r="M110" s="201">
        <f t="shared" si="52"/>
        <v>470468.67999999976</v>
      </c>
      <c r="N110" s="201">
        <f t="shared" si="52"/>
        <v>0</v>
      </c>
      <c r="O110" s="197" t="s">
        <v>173</v>
      </c>
      <c r="P110" s="197">
        <f t="shared" si="50"/>
        <v>0</v>
      </c>
      <c r="Q110" s="202">
        <f>'Market Share'!D32</f>
        <v>0</v>
      </c>
      <c r="R110" s="203">
        <f ca="1">Resumo!F64</f>
        <v>0</v>
      </c>
      <c r="S110" s="204">
        <f ca="1">Resumo!F80</f>
        <v>0</v>
      </c>
    </row>
    <row r="111" spans="1:19" ht="15" thickBot="1" x14ac:dyDescent="0.35">
      <c r="A111" s="205" t="str">
        <f>IF(AND(VALUE(RIGHT(O111,2))&lt;=controle_formulario!$E$16,H111&lt;=Criterios!$C$31+controle_formulario!$I$16-1),"SIM","NÃO")</f>
        <v>NÃO</v>
      </c>
      <c r="B111" s="205">
        <f t="shared" si="32"/>
        <v>0</v>
      </c>
      <c r="C111" s="205" t="str">
        <f t="shared" si="33"/>
        <v>Formrol</v>
      </c>
      <c r="D111" s="180"/>
      <c r="E111" s="205" t="str">
        <f t="shared" si="34"/>
        <v>Planilha 1</v>
      </c>
      <c r="F111" s="205" t="str">
        <f t="shared" si="35"/>
        <v>Geral</v>
      </c>
      <c r="G111" s="205" t="s">
        <v>27</v>
      </c>
      <c r="H111" s="212">
        <f t="shared" si="51"/>
        <v>2035</v>
      </c>
      <c r="I111" s="213">
        <f t="shared" si="51"/>
        <v>0</v>
      </c>
      <c r="J111" s="207" t="str">
        <f>IF(controle_formulario!$C$39=1,controle_formulario!$C$37,controle_formulario!$C$38)</f>
        <v>Epidemiologico Beneficiarios Saude Suplementar</v>
      </c>
      <c r="K111" s="208" t="s">
        <v>157</v>
      </c>
      <c r="L111" s="208" t="str">
        <f t="shared" si="49"/>
        <v>Pirtobrutinibe</v>
      </c>
      <c r="M111" s="201">
        <f t="shared" si="52"/>
        <v>470468.67999999976</v>
      </c>
      <c r="N111" s="201">
        <f t="shared" si="52"/>
        <v>0</v>
      </c>
      <c r="O111" s="214" t="s">
        <v>173</v>
      </c>
      <c r="P111" s="214">
        <f t="shared" si="50"/>
        <v>0</v>
      </c>
      <c r="Q111" s="209">
        <f>'Market Share'!D33</f>
        <v>0</v>
      </c>
      <c r="R111" s="216">
        <f ca="1">Resumo!F65</f>
        <v>0</v>
      </c>
      <c r="S111" s="217">
        <f ca="1">Resumo!F81</f>
        <v>0</v>
      </c>
    </row>
    <row r="112" spans="1:19" x14ac:dyDescent="0.3">
      <c r="A112" s="189" t="str">
        <f>IF(AND(VALUE(RIGHT(O112,2))&lt;=controle_formulario!$E$16,VALUE(RIGHT(K112,2))&lt;=controle_formulario!$C$10,H112&lt;=Criterios!$C$31+controle_formulario!$I$16-1),"SIM","NÃO")</f>
        <v>NÃO</v>
      </c>
      <c r="B112" s="189">
        <f t="shared" si="32"/>
        <v>0</v>
      </c>
      <c r="C112" s="189" t="str">
        <f t="shared" si="33"/>
        <v>Formrol</v>
      </c>
      <c r="D112" s="177"/>
      <c r="E112" s="189" t="str">
        <f t="shared" si="34"/>
        <v>Planilha 1</v>
      </c>
      <c r="F112" s="189" t="str">
        <f t="shared" si="35"/>
        <v>Geral</v>
      </c>
      <c r="G112" s="189" t="s">
        <v>18</v>
      </c>
      <c r="H112" s="190">
        <f>H102</f>
        <v>2026</v>
      </c>
      <c r="I112" s="191">
        <f ca="1">I102</f>
        <v>35.902021176061034</v>
      </c>
      <c r="J112" s="191" t="str">
        <f>IF(controle_formulario!$C$39=1,controle_formulario!$C$37,controle_formulario!$C$38)</f>
        <v>Epidemiologico Beneficiarios Saude Suplementar</v>
      </c>
      <c r="K112" s="192" t="s">
        <v>168</v>
      </c>
      <c r="L112" s="192" t="str">
        <f t="shared" ref="L112:L121" si="53">trat.a</f>
        <v xml:space="preserve"> Conjunto de Tratamentos-Padrão</v>
      </c>
      <c r="M112" s="193" t="e">
        <f>Resumo!$D$39</f>
        <v>#REF!</v>
      </c>
      <c r="N112" s="193">
        <f>Resumo!$D$48</f>
        <v>0</v>
      </c>
      <c r="O112" s="192" t="s">
        <v>173</v>
      </c>
      <c r="P112" s="192">
        <f t="shared" si="50"/>
        <v>0</v>
      </c>
      <c r="Q112" s="194">
        <f>'Market Share'!E24</f>
        <v>0.2</v>
      </c>
      <c r="R112" s="195">
        <f ca="1">R102</f>
        <v>14426075.529299868</v>
      </c>
      <c r="S112" s="196">
        <f ca="1">S102</f>
        <v>10315531.090770964</v>
      </c>
    </row>
    <row r="113" spans="1:19" x14ac:dyDescent="0.3">
      <c r="A113" s="198" t="str">
        <f>IF(AND(VALUE(RIGHT(O113,2))&lt;=controle_formulario!$E$16,VALUE(RIGHT(K113,2))&lt;=controle_formulario!$C$10,H113&lt;=Criterios!$C$31+controle_formulario!$I$16-1),"SIM","NÃO")</f>
        <v>NÃO</v>
      </c>
      <c r="B113" s="198">
        <f t="shared" si="32"/>
        <v>0</v>
      </c>
      <c r="C113" s="198" t="str">
        <f t="shared" si="33"/>
        <v>Formrol</v>
      </c>
      <c r="D113" s="179"/>
      <c r="E113" s="198" t="str">
        <f t="shared" si="34"/>
        <v>Planilha 1</v>
      </c>
      <c r="F113" s="198" t="str">
        <f t="shared" si="35"/>
        <v>Geral</v>
      </c>
      <c r="G113" s="198" t="s">
        <v>19</v>
      </c>
      <c r="H113" s="199">
        <f t="shared" ref="H113:I121" si="54">H103</f>
        <v>2027</v>
      </c>
      <c r="I113" s="200">
        <f t="shared" ca="1" si="54"/>
        <v>36.027114594978322</v>
      </c>
      <c r="J113" s="200" t="str">
        <f>IF(controle_formulario!$C$39=1,controle_formulario!$C$37,controle_formulario!$C$38)</f>
        <v>Epidemiologico Beneficiarios Saude Suplementar</v>
      </c>
      <c r="K113" s="197" t="s">
        <v>168</v>
      </c>
      <c r="L113" s="197" t="str">
        <f t="shared" si="53"/>
        <v xml:space="preserve"> Conjunto de Tratamentos-Padrão</v>
      </c>
      <c r="M113" s="201" t="e">
        <f>M112</f>
        <v>#REF!</v>
      </c>
      <c r="N113" s="201">
        <f>N112</f>
        <v>0</v>
      </c>
      <c r="O113" s="197" t="s">
        <v>173</v>
      </c>
      <c r="P113" s="197">
        <f t="shared" si="50"/>
        <v>0</v>
      </c>
      <c r="Q113" s="202">
        <f>'Market Share'!E25</f>
        <v>0.1</v>
      </c>
      <c r="R113" s="203">
        <f t="shared" ref="R113:S128" ca="1" si="55">R103</f>
        <v>15712984.677300038</v>
      </c>
      <c r="S113" s="204">
        <f t="shared" ca="1" si="55"/>
        <v>11588117.86803592</v>
      </c>
    </row>
    <row r="114" spans="1:19" x14ac:dyDescent="0.3">
      <c r="A114" s="198" t="str">
        <f>IF(AND(VALUE(RIGHT(O114,2))&lt;=controle_formulario!$E$16,VALUE(RIGHT(K114,2))&lt;=controle_formulario!$C$10,H114&lt;=Criterios!$C$31+controle_formulario!$I$16-1),"SIM","NÃO")</f>
        <v>NÃO</v>
      </c>
      <c r="B114" s="198">
        <f t="shared" si="32"/>
        <v>0</v>
      </c>
      <c r="C114" s="198" t="str">
        <f t="shared" si="33"/>
        <v>Formrol</v>
      </c>
      <c r="D114" s="179"/>
      <c r="E114" s="198" t="str">
        <f t="shared" si="34"/>
        <v>Planilha 1</v>
      </c>
      <c r="F114" s="198" t="str">
        <f t="shared" si="35"/>
        <v>Geral</v>
      </c>
      <c r="G114" s="198" t="s">
        <v>20</v>
      </c>
      <c r="H114" s="199">
        <f t="shared" si="54"/>
        <v>2028</v>
      </c>
      <c r="I114" s="200">
        <f t="shared" ca="1" si="54"/>
        <v>36.142742272880319</v>
      </c>
      <c r="J114" s="200" t="str">
        <f>IF(controle_formulario!$C$39=1,controle_formulario!$C$37,controle_formulario!$C$38)</f>
        <v>Epidemiologico Beneficiarios Saude Suplementar</v>
      </c>
      <c r="K114" s="197" t="s">
        <v>168</v>
      </c>
      <c r="L114" s="197" t="str">
        <f t="shared" si="53"/>
        <v xml:space="preserve"> Conjunto de Tratamentos-Padrão</v>
      </c>
      <c r="M114" s="201" t="e">
        <f t="shared" ref="M114:N121" si="56">M113</f>
        <v>#REF!</v>
      </c>
      <c r="N114" s="201">
        <f t="shared" si="56"/>
        <v>0</v>
      </c>
      <c r="O114" s="197" t="s">
        <v>173</v>
      </c>
      <c r="P114" s="197">
        <f t="shared" si="50"/>
        <v>0</v>
      </c>
      <c r="Q114" s="202">
        <f>'Market Share'!E26</f>
        <v>0.1</v>
      </c>
      <c r="R114" s="203">
        <f t="shared" ca="1" si="55"/>
        <v>15763414.9144026</v>
      </c>
      <c r="S114" s="204">
        <f t="shared" ca="1" si="55"/>
        <v>11625309.499266984</v>
      </c>
    </row>
    <row r="115" spans="1:19" x14ac:dyDescent="0.3">
      <c r="A115" s="198" t="str">
        <f>IF(AND(VALUE(RIGHT(O115,2))&lt;=controle_formulario!$E$16,VALUE(RIGHT(K115,2))&lt;=controle_formulario!$C$10,H115&lt;=Criterios!$C$31+controle_formulario!$I$16-1),"SIM","NÃO")</f>
        <v>NÃO</v>
      </c>
      <c r="B115" s="198">
        <f t="shared" si="32"/>
        <v>0</v>
      </c>
      <c r="C115" s="198" t="str">
        <f t="shared" si="33"/>
        <v>Formrol</v>
      </c>
      <c r="D115" s="179"/>
      <c r="E115" s="198" t="str">
        <f t="shared" si="34"/>
        <v>Planilha 1</v>
      </c>
      <c r="F115" s="198" t="str">
        <f t="shared" si="35"/>
        <v>Geral</v>
      </c>
      <c r="G115" s="198" t="s">
        <v>21</v>
      </c>
      <c r="H115" s="199">
        <f t="shared" si="54"/>
        <v>2029</v>
      </c>
      <c r="I115" s="200">
        <f t="shared" ca="1" si="54"/>
        <v>36.250027878529522</v>
      </c>
      <c r="J115" s="200" t="str">
        <f>IF(controle_formulario!$C$39=1,controle_formulario!$C$37,controle_formulario!$C$38)</f>
        <v>Epidemiologico Beneficiarios Saude Suplementar</v>
      </c>
      <c r="K115" s="197" t="s">
        <v>168</v>
      </c>
      <c r="L115" s="197" t="str">
        <f t="shared" si="53"/>
        <v xml:space="preserve"> Conjunto de Tratamentos-Padrão</v>
      </c>
      <c r="M115" s="201" t="e">
        <f t="shared" si="56"/>
        <v>#REF!</v>
      </c>
      <c r="N115" s="201">
        <f t="shared" si="56"/>
        <v>0</v>
      </c>
      <c r="O115" s="197" t="s">
        <v>173</v>
      </c>
      <c r="P115" s="197">
        <f t="shared" si="50"/>
        <v>0</v>
      </c>
      <c r="Q115" s="202">
        <f>'Market Share'!E27</f>
        <v>0.1</v>
      </c>
      <c r="R115" s="203">
        <f t="shared" ca="1" si="55"/>
        <v>15810206.812577421</v>
      </c>
      <c r="S115" s="204">
        <f t="shared" ca="1" si="55"/>
        <v>11659817.903777955</v>
      </c>
    </row>
    <row r="116" spans="1:19" x14ac:dyDescent="0.3">
      <c r="A116" s="198" t="str">
        <f>IF(AND(VALUE(RIGHT(O116,2))&lt;=controle_formulario!$E$16,VALUE(RIGHT(K116,2))&lt;=controle_formulario!$C$10,H116&lt;=Criterios!$C$31+controle_formulario!$I$16-1),"SIM","NÃO")</f>
        <v>NÃO</v>
      </c>
      <c r="B116" s="198">
        <f t="shared" si="32"/>
        <v>0</v>
      </c>
      <c r="C116" s="198" t="str">
        <f t="shared" si="33"/>
        <v>Formrol</v>
      </c>
      <c r="D116" s="179"/>
      <c r="E116" s="198" t="str">
        <f t="shared" si="34"/>
        <v>Planilha 1</v>
      </c>
      <c r="F116" s="198" t="str">
        <f t="shared" si="35"/>
        <v>Geral</v>
      </c>
      <c r="G116" s="198" t="s">
        <v>22</v>
      </c>
      <c r="H116" s="199">
        <f t="shared" si="54"/>
        <v>2030</v>
      </c>
      <c r="I116" s="200">
        <f t="shared" ca="1" si="54"/>
        <v>36.350592396534239</v>
      </c>
      <c r="J116" s="200" t="str">
        <f>IF(controle_formulario!$C$39=1,controle_formulario!$C$37,controle_formulario!$C$38)</f>
        <v>Epidemiologico Beneficiarios Saude Suplementar</v>
      </c>
      <c r="K116" s="197" t="s">
        <v>168</v>
      </c>
      <c r="L116" s="197" t="str">
        <f t="shared" si="53"/>
        <v xml:space="preserve"> Conjunto de Tratamentos-Padrão</v>
      </c>
      <c r="M116" s="201" t="e">
        <f t="shared" si="56"/>
        <v>#REF!</v>
      </c>
      <c r="N116" s="201">
        <f t="shared" si="56"/>
        <v>0</v>
      </c>
      <c r="O116" s="197" t="s">
        <v>173</v>
      </c>
      <c r="P116" s="197">
        <f t="shared" si="50"/>
        <v>0</v>
      </c>
      <c r="Q116" s="202">
        <f>'Market Share'!E28</f>
        <v>0.1</v>
      </c>
      <c r="R116" s="203">
        <f t="shared" ca="1" si="55"/>
        <v>15854067.353402093</v>
      </c>
      <c r="S116" s="204">
        <f t="shared" ca="1" si="55"/>
        <v>11692164.471108755</v>
      </c>
    </row>
    <row r="117" spans="1:19" x14ac:dyDescent="0.3">
      <c r="A117" s="198" t="str">
        <f>IF(AND(VALUE(RIGHT(O117,2))&lt;=controle_formulario!$E$16,VALUE(RIGHT(K117,2))&lt;=controle_formulario!$C$10,H117&lt;=Criterios!$C$31+controle_formulario!$I$16-1),"SIM","NÃO")</f>
        <v>NÃO</v>
      </c>
      <c r="B117" s="198">
        <f t="shared" si="32"/>
        <v>0</v>
      </c>
      <c r="C117" s="198" t="str">
        <f t="shared" si="33"/>
        <v>Formrol</v>
      </c>
      <c r="D117" s="179"/>
      <c r="E117" s="198" t="str">
        <f t="shared" si="34"/>
        <v>Planilha 1</v>
      </c>
      <c r="F117" s="198" t="str">
        <f t="shared" si="35"/>
        <v>Geral</v>
      </c>
      <c r="G117" s="198" t="s">
        <v>23</v>
      </c>
      <c r="H117" s="199">
        <f t="shared" si="54"/>
        <v>2031</v>
      </c>
      <c r="I117" s="200">
        <f t="shared" si="54"/>
        <v>0</v>
      </c>
      <c r="J117" s="200" t="str">
        <f>IF(controle_formulario!$C$39=1,controle_formulario!$C$37,controle_formulario!$C$38)</f>
        <v>Epidemiologico Beneficiarios Saude Suplementar</v>
      </c>
      <c r="K117" s="197" t="s">
        <v>168</v>
      </c>
      <c r="L117" s="197" t="str">
        <f t="shared" si="53"/>
        <v xml:space="preserve"> Conjunto de Tratamentos-Padrão</v>
      </c>
      <c r="M117" s="201" t="e">
        <f t="shared" si="56"/>
        <v>#REF!</v>
      </c>
      <c r="N117" s="201">
        <f t="shared" si="56"/>
        <v>0</v>
      </c>
      <c r="O117" s="197" t="s">
        <v>173</v>
      </c>
      <c r="P117" s="197">
        <f t="shared" si="50"/>
        <v>0</v>
      </c>
      <c r="Q117" s="202">
        <f>'Market Share'!E29</f>
        <v>0</v>
      </c>
      <c r="R117" s="203">
        <f t="shared" ca="1" si="55"/>
        <v>0</v>
      </c>
      <c r="S117" s="204">
        <f t="shared" ca="1" si="55"/>
        <v>0</v>
      </c>
    </row>
    <row r="118" spans="1:19" x14ac:dyDescent="0.3">
      <c r="A118" s="198" t="str">
        <f>IF(AND(VALUE(RIGHT(O118,2))&lt;=controle_formulario!$E$16,VALUE(RIGHT(K118,2))&lt;=controle_formulario!$C$10,H118&lt;=Criterios!$C$31+controle_formulario!$I$16-1),"SIM","NÃO")</f>
        <v>NÃO</v>
      </c>
      <c r="B118" s="198">
        <f t="shared" si="32"/>
        <v>0</v>
      </c>
      <c r="C118" s="198" t="str">
        <f t="shared" si="33"/>
        <v>Formrol</v>
      </c>
      <c r="D118" s="179"/>
      <c r="E118" s="198" t="str">
        <f t="shared" si="34"/>
        <v>Planilha 1</v>
      </c>
      <c r="F118" s="198" t="str">
        <f t="shared" si="35"/>
        <v>Geral</v>
      </c>
      <c r="G118" s="198" t="s">
        <v>24</v>
      </c>
      <c r="H118" s="199">
        <f t="shared" si="54"/>
        <v>2032</v>
      </c>
      <c r="I118" s="200">
        <f t="shared" si="54"/>
        <v>0</v>
      </c>
      <c r="J118" s="200" t="str">
        <f>IF(controle_formulario!$C$39=1,controle_formulario!$C$37,controle_formulario!$C$38)</f>
        <v>Epidemiologico Beneficiarios Saude Suplementar</v>
      </c>
      <c r="K118" s="197" t="s">
        <v>168</v>
      </c>
      <c r="L118" s="197" t="str">
        <f t="shared" si="53"/>
        <v xml:space="preserve"> Conjunto de Tratamentos-Padrão</v>
      </c>
      <c r="M118" s="201" t="e">
        <f t="shared" si="56"/>
        <v>#REF!</v>
      </c>
      <c r="N118" s="201">
        <f t="shared" si="56"/>
        <v>0</v>
      </c>
      <c r="O118" s="197" t="s">
        <v>173</v>
      </c>
      <c r="P118" s="197">
        <f t="shared" si="50"/>
        <v>0</v>
      </c>
      <c r="Q118" s="202">
        <f>'Market Share'!E30</f>
        <v>0</v>
      </c>
      <c r="R118" s="203">
        <f t="shared" ca="1" si="55"/>
        <v>0</v>
      </c>
      <c r="S118" s="204">
        <f t="shared" ca="1" si="55"/>
        <v>0</v>
      </c>
    </row>
    <row r="119" spans="1:19" x14ac:dyDescent="0.3">
      <c r="A119" s="198" t="str">
        <f>IF(AND(VALUE(RIGHT(O119,2))&lt;=controle_formulario!$E$16,VALUE(RIGHT(K119,2))&lt;=controle_formulario!$C$10,H119&lt;=Criterios!$C$31+controle_formulario!$I$16-1),"SIM","NÃO")</f>
        <v>NÃO</v>
      </c>
      <c r="B119" s="198">
        <f t="shared" si="32"/>
        <v>0</v>
      </c>
      <c r="C119" s="198" t="str">
        <f t="shared" si="33"/>
        <v>Formrol</v>
      </c>
      <c r="D119" s="179"/>
      <c r="E119" s="198" t="str">
        <f t="shared" si="34"/>
        <v>Planilha 1</v>
      </c>
      <c r="F119" s="198" t="str">
        <f t="shared" si="35"/>
        <v>Geral</v>
      </c>
      <c r="G119" s="198" t="s">
        <v>25</v>
      </c>
      <c r="H119" s="199">
        <f t="shared" si="54"/>
        <v>2033</v>
      </c>
      <c r="I119" s="200">
        <f t="shared" si="54"/>
        <v>0</v>
      </c>
      <c r="J119" s="200" t="str">
        <f>IF(controle_formulario!$C$39=1,controle_formulario!$C$37,controle_formulario!$C$38)</f>
        <v>Epidemiologico Beneficiarios Saude Suplementar</v>
      </c>
      <c r="K119" s="197" t="s">
        <v>168</v>
      </c>
      <c r="L119" s="197" t="str">
        <f t="shared" si="53"/>
        <v xml:space="preserve"> Conjunto de Tratamentos-Padrão</v>
      </c>
      <c r="M119" s="201" t="e">
        <f t="shared" si="56"/>
        <v>#REF!</v>
      </c>
      <c r="N119" s="201">
        <f t="shared" si="56"/>
        <v>0</v>
      </c>
      <c r="O119" s="197" t="s">
        <v>173</v>
      </c>
      <c r="P119" s="197">
        <f t="shared" si="50"/>
        <v>0</v>
      </c>
      <c r="Q119" s="202">
        <f>'Market Share'!E31</f>
        <v>0</v>
      </c>
      <c r="R119" s="203">
        <f t="shared" ca="1" si="55"/>
        <v>0</v>
      </c>
      <c r="S119" s="204">
        <f t="shared" ca="1" si="55"/>
        <v>0</v>
      </c>
    </row>
    <row r="120" spans="1:19" x14ac:dyDescent="0.3">
      <c r="A120" s="198" t="str">
        <f>IF(AND(VALUE(RIGHT(O120,2))&lt;=controle_formulario!$E$16,VALUE(RIGHT(K120,2))&lt;=controle_formulario!$C$10,H120&lt;=Criterios!$C$31+controle_formulario!$I$16-1),"SIM","NÃO")</f>
        <v>NÃO</v>
      </c>
      <c r="B120" s="198">
        <f t="shared" si="32"/>
        <v>0</v>
      </c>
      <c r="C120" s="198" t="str">
        <f t="shared" si="33"/>
        <v>Formrol</v>
      </c>
      <c r="D120" s="179"/>
      <c r="E120" s="198" t="str">
        <f t="shared" si="34"/>
        <v>Planilha 1</v>
      </c>
      <c r="F120" s="198" t="str">
        <f t="shared" si="35"/>
        <v>Geral</v>
      </c>
      <c r="G120" s="198" t="s">
        <v>26</v>
      </c>
      <c r="H120" s="199">
        <f t="shared" si="54"/>
        <v>2034</v>
      </c>
      <c r="I120" s="200">
        <f t="shared" si="54"/>
        <v>0</v>
      </c>
      <c r="J120" s="200" t="str">
        <f>IF(controle_formulario!$C$39=1,controle_formulario!$C$37,controle_formulario!$C$38)</f>
        <v>Epidemiologico Beneficiarios Saude Suplementar</v>
      </c>
      <c r="K120" s="197" t="s">
        <v>168</v>
      </c>
      <c r="L120" s="197" t="str">
        <f t="shared" si="53"/>
        <v xml:space="preserve"> Conjunto de Tratamentos-Padrão</v>
      </c>
      <c r="M120" s="201" t="e">
        <f t="shared" si="56"/>
        <v>#REF!</v>
      </c>
      <c r="N120" s="201">
        <f t="shared" si="56"/>
        <v>0</v>
      </c>
      <c r="O120" s="197" t="s">
        <v>173</v>
      </c>
      <c r="P120" s="197">
        <f t="shared" si="50"/>
        <v>0</v>
      </c>
      <c r="Q120" s="202">
        <f>'Market Share'!E32</f>
        <v>0</v>
      </c>
      <c r="R120" s="203">
        <f t="shared" ca="1" si="55"/>
        <v>0</v>
      </c>
      <c r="S120" s="204">
        <f t="shared" ca="1" si="55"/>
        <v>0</v>
      </c>
    </row>
    <row r="121" spans="1:19" ht="15" thickBot="1" x14ac:dyDescent="0.35">
      <c r="A121" s="205" t="str">
        <f>IF(AND(VALUE(RIGHT(O121,2))&lt;=controle_formulario!$E$16,VALUE(RIGHT(K121,2))&lt;=controle_formulario!$C$10,H121&lt;=Criterios!$C$31+controle_formulario!$I$16-1),"SIM","NÃO")</f>
        <v>NÃO</v>
      </c>
      <c r="B121" s="205">
        <f t="shared" si="32"/>
        <v>0</v>
      </c>
      <c r="C121" s="205" t="str">
        <f t="shared" si="33"/>
        <v>Formrol</v>
      </c>
      <c r="D121" s="180"/>
      <c r="E121" s="205" t="str">
        <f t="shared" si="34"/>
        <v>Planilha 1</v>
      </c>
      <c r="F121" s="205" t="str">
        <f t="shared" si="35"/>
        <v>Geral</v>
      </c>
      <c r="G121" s="205" t="s">
        <v>27</v>
      </c>
      <c r="H121" s="206">
        <f t="shared" si="54"/>
        <v>2035</v>
      </c>
      <c r="I121" s="207">
        <f t="shared" si="54"/>
        <v>0</v>
      </c>
      <c r="J121" s="207" t="str">
        <f>IF(controle_formulario!$C$39=1,controle_formulario!$C$37,controle_formulario!$C$38)</f>
        <v>Epidemiologico Beneficiarios Saude Suplementar</v>
      </c>
      <c r="K121" s="208" t="s">
        <v>168</v>
      </c>
      <c r="L121" s="208" t="str">
        <f t="shared" si="53"/>
        <v xml:space="preserve"> Conjunto de Tratamentos-Padrão</v>
      </c>
      <c r="M121" s="201" t="e">
        <f t="shared" si="56"/>
        <v>#REF!</v>
      </c>
      <c r="N121" s="201">
        <f t="shared" si="56"/>
        <v>0</v>
      </c>
      <c r="O121" s="214" t="s">
        <v>173</v>
      </c>
      <c r="P121" s="214">
        <f t="shared" si="50"/>
        <v>0</v>
      </c>
      <c r="Q121" s="209">
        <f>'Market Share'!E33</f>
        <v>0</v>
      </c>
      <c r="R121" s="216">
        <f t="shared" ca="1" si="55"/>
        <v>0</v>
      </c>
      <c r="S121" s="217">
        <f t="shared" ca="1" si="55"/>
        <v>0</v>
      </c>
    </row>
    <row r="122" spans="1:19" x14ac:dyDescent="0.3">
      <c r="A122" s="189" t="str">
        <f>IF(AND(VALUE(RIGHT(O122,2))&lt;=controle_formulario!$E$16,VALUE(RIGHT(K122,2))&lt;=controle_formulario!$C$10,H122&lt;=Criterios!$C$31+controle_formulario!$I$16-1),"SIM","NÃO")</f>
        <v>NÃO</v>
      </c>
      <c r="B122" s="189">
        <f t="shared" si="32"/>
        <v>0</v>
      </c>
      <c r="C122" s="189" t="str">
        <f t="shared" si="33"/>
        <v>Formrol</v>
      </c>
      <c r="D122" s="177"/>
      <c r="E122" s="189" t="str">
        <f t="shared" si="34"/>
        <v>Planilha 1</v>
      </c>
      <c r="F122" s="189" t="str">
        <f t="shared" si="35"/>
        <v>Geral</v>
      </c>
      <c r="G122" s="189" t="s">
        <v>18</v>
      </c>
      <c r="H122" s="190">
        <f>H112</f>
        <v>2026</v>
      </c>
      <c r="I122" s="191">
        <f ca="1">I112</f>
        <v>35.902021176061034</v>
      </c>
      <c r="J122" s="191" t="str">
        <f>IF(controle_formulario!$C$39=1,controle_formulario!$C$37,controle_formulario!$C$38)</f>
        <v>Epidemiologico Beneficiarios Saude Suplementar</v>
      </c>
      <c r="K122" s="192" t="s">
        <v>169</v>
      </c>
      <c r="L122" s="192">
        <f t="shared" ref="L122:L131" si="57">trat.b</f>
        <v>0</v>
      </c>
      <c r="M122" s="193">
        <f>Resumo!$D$40</f>
        <v>0</v>
      </c>
      <c r="N122" s="193">
        <f>Resumo!$D$49</f>
        <v>0</v>
      </c>
      <c r="O122" s="192" t="s">
        <v>173</v>
      </c>
      <c r="P122" s="192">
        <f t="shared" si="50"/>
        <v>0</v>
      </c>
      <c r="Q122" s="194">
        <f>'Market Share'!F24</f>
        <v>0</v>
      </c>
      <c r="R122" s="195">
        <f ca="1">R112</f>
        <v>14426075.529299868</v>
      </c>
      <c r="S122" s="196">
        <f ca="1">S112</f>
        <v>10315531.090770964</v>
      </c>
    </row>
    <row r="123" spans="1:19" x14ac:dyDescent="0.3">
      <c r="A123" s="198" t="str">
        <f>IF(AND(VALUE(RIGHT(O123,2))&lt;=controle_formulario!$E$16,VALUE(RIGHT(K123,2))&lt;=controle_formulario!$C$10,H123&lt;=Criterios!$C$31+controle_formulario!$I$16-1),"SIM","NÃO")</f>
        <v>NÃO</v>
      </c>
      <c r="B123" s="198">
        <f t="shared" si="32"/>
        <v>0</v>
      </c>
      <c r="C123" s="198" t="str">
        <f t="shared" si="33"/>
        <v>Formrol</v>
      </c>
      <c r="D123" s="179"/>
      <c r="E123" s="198" t="str">
        <f t="shared" si="34"/>
        <v>Planilha 1</v>
      </c>
      <c r="F123" s="198" t="str">
        <f t="shared" si="35"/>
        <v>Geral</v>
      </c>
      <c r="G123" s="198" t="s">
        <v>19</v>
      </c>
      <c r="H123" s="199">
        <f t="shared" ref="H123:I131" si="58">H113</f>
        <v>2027</v>
      </c>
      <c r="I123" s="200">
        <f t="shared" ca="1" si="58"/>
        <v>36.027114594978322</v>
      </c>
      <c r="J123" s="200" t="str">
        <f>IF(controle_formulario!$C$39=1,controle_formulario!$C$37,controle_formulario!$C$38)</f>
        <v>Epidemiologico Beneficiarios Saude Suplementar</v>
      </c>
      <c r="K123" s="197" t="s">
        <v>169</v>
      </c>
      <c r="L123" s="197">
        <f t="shared" si="57"/>
        <v>0</v>
      </c>
      <c r="M123" s="201">
        <f>M122</f>
        <v>0</v>
      </c>
      <c r="N123" s="201">
        <f>N122</f>
        <v>0</v>
      </c>
      <c r="O123" s="197" t="s">
        <v>173</v>
      </c>
      <c r="P123" s="197">
        <f t="shared" si="50"/>
        <v>0</v>
      </c>
      <c r="Q123" s="202">
        <f>'Market Share'!F25</f>
        <v>0</v>
      </c>
      <c r="R123" s="203">
        <f t="shared" ca="1" si="55"/>
        <v>15712984.677300038</v>
      </c>
      <c r="S123" s="204">
        <f t="shared" ca="1" si="55"/>
        <v>11588117.86803592</v>
      </c>
    </row>
    <row r="124" spans="1:19" x14ac:dyDescent="0.3">
      <c r="A124" s="198" t="str">
        <f>IF(AND(VALUE(RIGHT(O124,2))&lt;=controle_formulario!$E$16,VALUE(RIGHT(K124,2))&lt;=controle_formulario!$C$10,H124&lt;=Criterios!$C$31+controle_formulario!$I$16-1),"SIM","NÃO")</f>
        <v>NÃO</v>
      </c>
      <c r="B124" s="198">
        <f t="shared" si="32"/>
        <v>0</v>
      </c>
      <c r="C124" s="198" t="str">
        <f t="shared" si="33"/>
        <v>Formrol</v>
      </c>
      <c r="D124" s="179"/>
      <c r="E124" s="198" t="str">
        <f t="shared" si="34"/>
        <v>Planilha 1</v>
      </c>
      <c r="F124" s="198" t="str">
        <f t="shared" si="35"/>
        <v>Geral</v>
      </c>
      <c r="G124" s="198" t="s">
        <v>20</v>
      </c>
      <c r="H124" s="199">
        <f t="shared" si="58"/>
        <v>2028</v>
      </c>
      <c r="I124" s="200">
        <f t="shared" ca="1" si="58"/>
        <v>36.142742272880319</v>
      </c>
      <c r="J124" s="200" t="str">
        <f>IF(controle_formulario!$C$39=1,controle_formulario!$C$37,controle_formulario!$C$38)</f>
        <v>Epidemiologico Beneficiarios Saude Suplementar</v>
      </c>
      <c r="K124" s="197" t="s">
        <v>169</v>
      </c>
      <c r="L124" s="197">
        <f t="shared" si="57"/>
        <v>0</v>
      </c>
      <c r="M124" s="201">
        <f t="shared" ref="M124:N131" si="59">M123</f>
        <v>0</v>
      </c>
      <c r="N124" s="201">
        <f t="shared" si="59"/>
        <v>0</v>
      </c>
      <c r="O124" s="197" t="s">
        <v>173</v>
      </c>
      <c r="P124" s="197">
        <f t="shared" si="50"/>
        <v>0</v>
      </c>
      <c r="Q124" s="202">
        <f>'Market Share'!F26</f>
        <v>0</v>
      </c>
      <c r="R124" s="203">
        <f t="shared" ca="1" si="55"/>
        <v>15763414.9144026</v>
      </c>
      <c r="S124" s="204">
        <f t="shared" ca="1" si="55"/>
        <v>11625309.499266984</v>
      </c>
    </row>
    <row r="125" spans="1:19" x14ac:dyDescent="0.3">
      <c r="A125" s="198" t="str">
        <f>IF(AND(VALUE(RIGHT(O125,2))&lt;=controle_formulario!$E$16,VALUE(RIGHT(K125,2))&lt;=controle_formulario!$C$10,H125&lt;=Criterios!$C$31+controle_formulario!$I$16-1),"SIM","NÃO")</f>
        <v>NÃO</v>
      </c>
      <c r="B125" s="198">
        <f t="shared" si="32"/>
        <v>0</v>
      </c>
      <c r="C125" s="198" t="str">
        <f t="shared" si="33"/>
        <v>Formrol</v>
      </c>
      <c r="D125" s="179"/>
      <c r="E125" s="198" t="str">
        <f t="shared" si="34"/>
        <v>Planilha 1</v>
      </c>
      <c r="F125" s="198" t="str">
        <f t="shared" si="35"/>
        <v>Geral</v>
      </c>
      <c r="G125" s="198" t="s">
        <v>21</v>
      </c>
      <c r="H125" s="199">
        <f t="shared" si="58"/>
        <v>2029</v>
      </c>
      <c r="I125" s="200">
        <f t="shared" ca="1" si="58"/>
        <v>36.250027878529522</v>
      </c>
      <c r="J125" s="200" t="str">
        <f>IF(controle_formulario!$C$39=1,controle_formulario!$C$37,controle_formulario!$C$38)</f>
        <v>Epidemiologico Beneficiarios Saude Suplementar</v>
      </c>
      <c r="K125" s="197" t="s">
        <v>169</v>
      </c>
      <c r="L125" s="197">
        <f t="shared" si="57"/>
        <v>0</v>
      </c>
      <c r="M125" s="201">
        <f t="shared" si="59"/>
        <v>0</v>
      </c>
      <c r="N125" s="201">
        <f t="shared" si="59"/>
        <v>0</v>
      </c>
      <c r="O125" s="197" t="s">
        <v>173</v>
      </c>
      <c r="P125" s="197">
        <f t="shared" si="50"/>
        <v>0</v>
      </c>
      <c r="Q125" s="202">
        <f>'Market Share'!F27</f>
        <v>0</v>
      </c>
      <c r="R125" s="203">
        <f t="shared" ca="1" si="55"/>
        <v>15810206.812577421</v>
      </c>
      <c r="S125" s="204">
        <f t="shared" ca="1" si="55"/>
        <v>11659817.903777955</v>
      </c>
    </row>
    <row r="126" spans="1:19" x14ac:dyDescent="0.3">
      <c r="A126" s="198" t="str">
        <f>IF(AND(VALUE(RIGHT(O126,2))&lt;=controle_formulario!$E$16,VALUE(RIGHT(K126,2))&lt;=controle_formulario!$C$10,H126&lt;=Criterios!$C$31+controle_formulario!$I$16-1),"SIM","NÃO")</f>
        <v>NÃO</v>
      </c>
      <c r="B126" s="198">
        <f t="shared" si="32"/>
        <v>0</v>
      </c>
      <c r="C126" s="198" t="str">
        <f t="shared" si="33"/>
        <v>Formrol</v>
      </c>
      <c r="D126" s="179"/>
      <c r="E126" s="198" t="str">
        <f t="shared" si="34"/>
        <v>Planilha 1</v>
      </c>
      <c r="F126" s="198" t="str">
        <f t="shared" si="35"/>
        <v>Geral</v>
      </c>
      <c r="G126" s="198" t="s">
        <v>22</v>
      </c>
      <c r="H126" s="199">
        <f t="shared" si="58"/>
        <v>2030</v>
      </c>
      <c r="I126" s="200">
        <f t="shared" ca="1" si="58"/>
        <v>36.350592396534239</v>
      </c>
      <c r="J126" s="200" t="str">
        <f>IF(controle_formulario!$C$39=1,controle_formulario!$C$37,controle_formulario!$C$38)</f>
        <v>Epidemiologico Beneficiarios Saude Suplementar</v>
      </c>
      <c r="K126" s="197" t="s">
        <v>169</v>
      </c>
      <c r="L126" s="197">
        <f t="shared" si="57"/>
        <v>0</v>
      </c>
      <c r="M126" s="201">
        <f t="shared" si="59"/>
        <v>0</v>
      </c>
      <c r="N126" s="201">
        <f t="shared" si="59"/>
        <v>0</v>
      </c>
      <c r="O126" s="197" t="s">
        <v>173</v>
      </c>
      <c r="P126" s="197">
        <f t="shared" si="50"/>
        <v>0</v>
      </c>
      <c r="Q126" s="202">
        <f>'Market Share'!F28</f>
        <v>0</v>
      </c>
      <c r="R126" s="203">
        <f t="shared" ca="1" si="55"/>
        <v>15854067.353402093</v>
      </c>
      <c r="S126" s="204">
        <f t="shared" ca="1" si="55"/>
        <v>11692164.471108755</v>
      </c>
    </row>
    <row r="127" spans="1:19" x14ac:dyDescent="0.3">
      <c r="A127" s="198" t="str">
        <f>IF(AND(VALUE(RIGHT(O127,2))&lt;=controle_formulario!$E$16,VALUE(RIGHT(K127,2))&lt;=controle_formulario!$C$10,H127&lt;=Criterios!$C$31+controle_formulario!$I$16-1),"SIM","NÃO")</f>
        <v>NÃO</v>
      </c>
      <c r="B127" s="198">
        <f t="shared" si="32"/>
        <v>0</v>
      </c>
      <c r="C127" s="198" t="str">
        <f t="shared" si="33"/>
        <v>Formrol</v>
      </c>
      <c r="D127" s="179"/>
      <c r="E127" s="198" t="str">
        <f t="shared" si="34"/>
        <v>Planilha 1</v>
      </c>
      <c r="F127" s="198" t="str">
        <f t="shared" si="35"/>
        <v>Geral</v>
      </c>
      <c r="G127" s="198" t="s">
        <v>23</v>
      </c>
      <c r="H127" s="199">
        <f t="shared" si="58"/>
        <v>2031</v>
      </c>
      <c r="I127" s="200">
        <f t="shared" si="58"/>
        <v>0</v>
      </c>
      <c r="J127" s="200" t="str">
        <f>IF(controle_formulario!$C$39=1,controle_formulario!$C$37,controle_formulario!$C$38)</f>
        <v>Epidemiologico Beneficiarios Saude Suplementar</v>
      </c>
      <c r="K127" s="197" t="s">
        <v>169</v>
      </c>
      <c r="L127" s="197">
        <f t="shared" si="57"/>
        <v>0</v>
      </c>
      <c r="M127" s="201">
        <f t="shared" si="59"/>
        <v>0</v>
      </c>
      <c r="N127" s="201">
        <f t="shared" si="59"/>
        <v>0</v>
      </c>
      <c r="O127" s="197" t="s">
        <v>173</v>
      </c>
      <c r="P127" s="197">
        <f t="shared" si="50"/>
        <v>0</v>
      </c>
      <c r="Q127" s="202">
        <f>'Market Share'!F29</f>
        <v>0</v>
      </c>
      <c r="R127" s="203">
        <f t="shared" ca="1" si="55"/>
        <v>0</v>
      </c>
      <c r="S127" s="204">
        <f t="shared" ca="1" si="55"/>
        <v>0</v>
      </c>
    </row>
    <row r="128" spans="1:19" x14ac:dyDescent="0.3">
      <c r="A128" s="198" t="str">
        <f>IF(AND(VALUE(RIGHT(O128,2))&lt;=controle_formulario!$E$16,VALUE(RIGHT(K128,2))&lt;=controle_formulario!$C$10,H128&lt;=Criterios!$C$31+controle_formulario!$I$16-1),"SIM","NÃO")</f>
        <v>NÃO</v>
      </c>
      <c r="B128" s="198">
        <f t="shared" si="32"/>
        <v>0</v>
      </c>
      <c r="C128" s="198" t="str">
        <f t="shared" si="33"/>
        <v>Formrol</v>
      </c>
      <c r="D128" s="179"/>
      <c r="E128" s="198" t="str">
        <f t="shared" si="34"/>
        <v>Planilha 1</v>
      </c>
      <c r="F128" s="198" t="str">
        <f t="shared" si="35"/>
        <v>Geral</v>
      </c>
      <c r="G128" s="198" t="s">
        <v>24</v>
      </c>
      <c r="H128" s="199">
        <f t="shared" si="58"/>
        <v>2032</v>
      </c>
      <c r="I128" s="200">
        <f t="shared" si="58"/>
        <v>0</v>
      </c>
      <c r="J128" s="200" t="str">
        <f>IF(controle_formulario!$C$39=1,controle_formulario!$C$37,controle_formulario!$C$38)</f>
        <v>Epidemiologico Beneficiarios Saude Suplementar</v>
      </c>
      <c r="K128" s="197" t="s">
        <v>169</v>
      </c>
      <c r="L128" s="197">
        <f t="shared" si="57"/>
        <v>0</v>
      </c>
      <c r="M128" s="201">
        <f t="shared" si="59"/>
        <v>0</v>
      </c>
      <c r="N128" s="201">
        <f t="shared" si="59"/>
        <v>0</v>
      </c>
      <c r="O128" s="197" t="s">
        <v>173</v>
      </c>
      <c r="P128" s="197">
        <f t="shared" si="50"/>
        <v>0</v>
      </c>
      <c r="Q128" s="202">
        <f>'Market Share'!F30</f>
        <v>0</v>
      </c>
      <c r="R128" s="203">
        <f t="shared" ca="1" si="55"/>
        <v>0</v>
      </c>
      <c r="S128" s="204">
        <f t="shared" ca="1" si="55"/>
        <v>0</v>
      </c>
    </row>
    <row r="129" spans="1:19" x14ac:dyDescent="0.3">
      <c r="A129" s="198" t="str">
        <f>IF(AND(VALUE(RIGHT(O129,2))&lt;=controle_formulario!$E$16,VALUE(RIGHT(K129,2))&lt;=controle_formulario!$C$10,H129&lt;=Criterios!$C$31+controle_formulario!$I$16-1),"SIM","NÃO")</f>
        <v>NÃO</v>
      </c>
      <c r="B129" s="198">
        <f t="shared" si="32"/>
        <v>0</v>
      </c>
      <c r="C129" s="198" t="str">
        <f t="shared" si="33"/>
        <v>Formrol</v>
      </c>
      <c r="D129" s="179"/>
      <c r="E129" s="198" t="str">
        <f t="shared" si="34"/>
        <v>Planilha 1</v>
      </c>
      <c r="F129" s="198" t="str">
        <f t="shared" si="35"/>
        <v>Geral</v>
      </c>
      <c r="G129" s="198" t="s">
        <v>25</v>
      </c>
      <c r="H129" s="199">
        <f t="shared" si="58"/>
        <v>2033</v>
      </c>
      <c r="I129" s="200">
        <f t="shared" si="58"/>
        <v>0</v>
      </c>
      <c r="J129" s="200" t="str">
        <f>IF(controle_formulario!$C$39=1,controle_formulario!$C$37,controle_formulario!$C$38)</f>
        <v>Epidemiologico Beneficiarios Saude Suplementar</v>
      </c>
      <c r="K129" s="197" t="s">
        <v>169</v>
      </c>
      <c r="L129" s="197">
        <f t="shared" si="57"/>
        <v>0</v>
      </c>
      <c r="M129" s="201">
        <f t="shared" si="59"/>
        <v>0</v>
      </c>
      <c r="N129" s="201">
        <f t="shared" si="59"/>
        <v>0</v>
      </c>
      <c r="O129" s="197" t="s">
        <v>173</v>
      </c>
      <c r="P129" s="197">
        <f t="shared" si="50"/>
        <v>0</v>
      </c>
      <c r="Q129" s="202">
        <f>'Market Share'!F31</f>
        <v>0</v>
      </c>
      <c r="R129" s="203">
        <f t="shared" ref="R129:S131" ca="1" si="60">R119</f>
        <v>0</v>
      </c>
      <c r="S129" s="204">
        <f t="shared" ca="1" si="60"/>
        <v>0</v>
      </c>
    </row>
    <row r="130" spans="1:19" x14ac:dyDescent="0.3">
      <c r="A130" s="198" t="str">
        <f>IF(AND(VALUE(RIGHT(O130,2))&lt;=controle_formulario!$E$16,VALUE(RIGHT(K130,2))&lt;=controle_formulario!$C$10,H130&lt;=Criterios!$C$31+controle_formulario!$I$16-1),"SIM","NÃO")</f>
        <v>NÃO</v>
      </c>
      <c r="B130" s="198">
        <f t="shared" si="32"/>
        <v>0</v>
      </c>
      <c r="C130" s="198" t="str">
        <f t="shared" si="33"/>
        <v>Formrol</v>
      </c>
      <c r="D130" s="179"/>
      <c r="E130" s="198" t="str">
        <f t="shared" si="34"/>
        <v>Planilha 1</v>
      </c>
      <c r="F130" s="198" t="str">
        <f t="shared" si="35"/>
        <v>Geral</v>
      </c>
      <c r="G130" s="198" t="s">
        <v>26</v>
      </c>
      <c r="H130" s="199">
        <f t="shared" si="58"/>
        <v>2034</v>
      </c>
      <c r="I130" s="200">
        <f t="shared" si="58"/>
        <v>0</v>
      </c>
      <c r="J130" s="200" t="str">
        <f>IF(controle_formulario!$C$39=1,controle_formulario!$C$37,controle_formulario!$C$38)</f>
        <v>Epidemiologico Beneficiarios Saude Suplementar</v>
      </c>
      <c r="K130" s="197" t="s">
        <v>169</v>
      </c>
      <c r="L130" s="197">
        <f t="shared" si="57"/>
        <v>0</v>
      </c>
      <c r="M130" s="201">
        <f t="shared" si="59"/>
        <v>0</v>
      </c>
      <c r="N130" s="201">
        <f t="shared" si="59"/>
        <v>0</v>
      </c>
      <c r="O130" s="197" t="s">
        <v>173</v>
      </c>
      <c r="P130" s="197">
        <f t="shared" si="50"/>
        <v>0</v>
      </c>
      <c r="Q130" s="202">
        <f>'Market Share'!F32</f>
        <v>0</v>
      </c>
      <c r="R130" s="203">
        <f t="shared" ca="1" si="60"/>
        <v>0</v>
      </c>
      <c r="S130" s="204">
        <f t="shared" ca="1" si="60"/>
        <v>0</v>
      </c>
    </row>
    <row r="131" spans="1:19" ht="15" thickBot="1" x14ac:dyDescent="0.35">
      <c r="A131" s="205" t="str">
        <f>IF(AND(VALUE(RIGHT(O131,2))&lt;=controle_formulario!$E$16,VALUE(RIGHT(K131,2))&lt;=controle_formulario!$C$10,H131&lt;=Criterios!$C$31+controle_formulario!$I$16-1),"SIM","NÃO")</f>
        <v>NÃO</v>
      </c>
      <c r="B131" s="205">
        <f t="shared" ref="B131:B194" si="61">$W$2</f>
        <v>0</v>
      </c>
      <c r="C131" s="205" t="str">
        <f t="shared" ref="C131:C194" si="62">$W$3</f>
        <v>Formrol</v>
      </c>
      <c r="D131" s="180"/>
      <c r="E131" s="205" t="str">
        <f t="shared" ref="E131:E194" si="63">$W$5</f>
        <v>Planilha 1</v>
      </c>
      <c r="F131" s="205" t="str">
        <f t="shared" ref="F131:F194" si="64">$W$6</f>
        <v>Geral</v>
      </c>
      <c r="G131" s="205" t="s">
        <v>27</v>
      </c>
      <c r="H131" s="206">
        <f t="shared" si="58"/>
        <v>2035</v>
      </c>
      <c r="I131" s="207">
        <f t="shared" si="58"/>
        <v>0</v>
      </c>
      <c r="J131" s="207" t="str">
        <f>IF(controle_formulario!$C$39=1,controle_formulario!$C$37,controle_formulario!$C$38)</f>
        <v>Epidemiologico Beneficiarios Saude Suplementar</v>
      </c>
      <c r="K131" s="208" t="s">
        <v>169</v>
      </c>
      <c r="L131" s="208">
        <f t="shared" si="57"/>
        <v>0</v>
      </c>
      <c r="M131" s="201">
        <f t="shared" si="59"/>
        <v>0</v>
      </c>
      <c r="N131" s="201">
        <f t="shared" si="59"/>
        <v>0</v>
      </c>
      <c r="O131" s="214" t="s">
        <v>173</v>
      </c>
      <c r="P131" s="214">
        <f t="shared" si="50"/>
        <v>0</v>
      </c>
      <c r="Q131" s="209">
        <f>'Market Share'!F33</f>
        <v>0</v>
      </c>
      <c r="R131" s="216">
        <f t="shared" ca="1" si="60"/>
        <v>0</v>
      </c>
      <c r="S131" s="217">
        <f t="shared" ca="1" si="60"/>
        <v>0</v>
      </c>
    </row>
    <row r="132" spans="1:19" x14ac:dyDescent="0.3">
      <c r="A132" s="189" t="str">
        <f>IF(AND(VALUE(RIGHT(O132,2))&lt;=controle_formulario!$E$16,VALUE(RIGHT(K132,2))&lt;=controle_formulario!$C$10,H132&lt;=Criterios!$C$31+controle_formulario!$I$16-1),"SIM","NÃO")</f>
        <v>NÃO</v>
      </c>
      <c r="B132" s="189">
        <f t="shared" si="61"/>
        <v>0</v>
      </c>
      <c r="C132" s="189" t="str">
        <f t="shared" si="62"/>
        <v>Formrol</v>
      </c>
      <c r="D132" s="177"/>
      <c r="E132" s="189" t="str">
        <f t="shared" si="63"/>
        <v>Planilha 1</v>
      </c>
      <c r="F132" s="189" t="str">
        <f t="shared" si="64"/>
        <v>Geral</v>
      </c>
      <c r="G132" s="189" t="s">
        <v>18</v>
      </c>
      <c r="H132" s="190">
        <f>H122</f>
        <v>2026</v>
      </c>
      <c r="I132" s="191">
        <f ca="1">I122</f>
        <v>35.902021176061034</v>
      </c>
      <c r="J132" s="191" t="str">
        <f>IF(controle_formulario!$C$39=1,controle_formulario!$C$37,controle_formulario!$C$38)</f>
        <v>Epidemiologico Beneficiarios Saude Suplementar</v>
      </c>
      <c r="K132" s="192" t="s">
        <v>170</v>
      </c>
      <c r="L132" s="192">
        <f t="shared" ref="L132:L141" si="65">trat.c</f>
        <v>0</v>
      </c>
      <c r="M132" s="193">
        <f>Resumo!$D$41</f>
        <v>0</v>
      </c>
      <c r="N132" s="193">
        <f>Resumo!$D$50</f>
        <v>0</v>
      </c>
      <c r="O132" s="192" t="s">
        <v>173</v>
      </c>
      <c r="P132" s="192">
        <f t="shared" si="50"/>
        <v>0</v>
      </c>
      <c r="Q132" s="194">
        <f>'Market Share'!G24</f>
        <v>0</v>
      </c>
      <c r="R132" s="195">
        <f ca="1">R122</f>
        <v>14426075.529299868</v>
      </c>
      <c r="S132" s="196">
        <f ca="1">S122</f>
        <v>10315531.090770964</v>
      </c>
    </row>
    <row r="133" spans="1:19" x14ac:dyDescent="0.3">
      <c r="A133" s="198" t="str">
        <f>IF(AND(VALUE(RIGHT(O133,2))&lt;=controle_formulario!$E$16,VALUE(RIGHT(K133,2))&lt;=controle_formulario!$C$10,H133&lt;=Criterios!$C$31+controle_formulario!$I$16-1),"SIM","NÃO")</f>
        <v>NÃO</v>
      </c>
      <c r="B133" s="198">
        <f t="shared" si="61"/>
        <v>0</v>
      </c>
      <c r="C133" s="198" t="str">
        <f t="shared" si="62"/>
        <v>Formrol</v>
      </c>
      <c r="D133" s="179"/>
      <c r="E133" s="198" t="str">
        <f t="shared" si="63"/>
        <v>Planilha 1</v>
      </c>
      <c r="F133" s="198" t="str">
        <f t="shared" si="64"/>
        <v>Geral</v>
      </c>
      <c r="G133" s="198" t="s">
        <v>19</v>
      </c>
      <c r="H133" s="199">
        <f t="shared" ref="H133:I141" si="66">H123</f>
        <v>2027</v>
      </c>
      <c r="I133" s="200">
        <f t="shared" ca="1" si="66"/>
        <v>36.027114594978322</v>
      </c>
      <c r="J133" s="200" t="str">
        <f>IF(controle_formulario!$C$39=1,controle_formulario!$C$37,controle_formulario!$C$38)</f>
        <v>Epidemiologico Beneficiarios Saude Suplementar</v>
      </c>
      <c r="K133" s="197" t="s">
        <v>170</v>
      </c>
      <c r="L133" s="197">
        <f t="shared" si="65"/>
        <v>0</v>
      </c>
      <c r="M133" s="201">
        <f>M132</f>
        <v>0</v>
      </c>
      <c r="N133" s="201">
        <f>N132</f>
        <v>0</v>
      </c>
      <c r="O133" s="197" t="s">
        <v>173</v>
      </c>
      <c r="P133" s="197">
        <f t="shared" si="50"/>
        <v>0</v>
      </c>
      <c r="Q133" s="202">
        <f>'Market Share'!G25</f>
        <v>0</v>
      </c>
      <c r="R133" s="203">
        <f t="shared" ref="R133:S141" ca="1" si="67">R123</f>
        <v>15712984.677300038</v>
      </c>
      <c r="S133" s="204">
        <f t="shared" ca="1" si="67"/>
        <v>11588117.86803592</v>
      </c>
    </row>
    <row r="134" spans="1:19" x14ac:dyDescent="0.3">
      <c r="A134" s="198" t="str">
        <f>IF(AND(VALUE(RIGHT(O134,2))&lt;=controle_formulario!$E$16,VALUE(RIGHT(K134,2))&lt;=controle_formulario!$C$10,H134&lt;=Criterios!$C$31+controle_formulario!$I$16-1),"SIM","NÃO")</f>
        <v>NÃO</v>
      </c>
      <c r="B134" s="198">
        <f t="shared" si="61"/>
        <v>0</v>
      </c>
      <c r="C134" s="198" t="str">
        <f t="shared" si="62"/>
        <v>Formrol</v>
      </c>
      <c r="D134" s="179"/>
      <c r="E134" s="198" t="str">
        <f t="shared" si="63"/>
        <v>Planilha 1</v>
      </c>
      <c r="F134" s="198" t="str">
        <f t="shared" si="64"/>
        <v>Geral</v>
      </c>
      <c r="G134" s="198" t="s">
        <v>20</v>
      </c>
      <c r="H134" s="199">
        <f t="shared" si="66"/>
        <v>2028</v>
      </c>
      <c r="I134" s="200">
        <f t="shared" ca="1" si="66"/>
        <v>36.142742272880319</v>
      </c>
      <c r="J134" s="200" t="str">
        <f>IF(controle_formulario!$C$39=1,controle_formulario!$C$37,controle_formulario!$C$38)</f>
        <v>Epidemiologico Beneficiarios Saude Suplementar</v>
      </c>
      <c r="K134" s="197" t="s">
        <v>170</v>
      </c>
      <c r="L134" s="197">
        <f t="shared" si="65"/>
        <v>0</v>
      </c>
      <c r="M134" s="201">
        <f t="shared" ref="M134:N141" si="68">M133</f>
        <v>0</v>
      </c>
      <c r="N134" s="201">
        <f t="shared" si="68"/>
        <v>0</v>
      </c>
      <c r="O134" s="197" t="s">
        <v>173</v>
      </c>
      <c r="P134" s="197">
        <f t="shared" ref="P134:P151" si="69">cen.alt2</f>
        <v>0</v>
      </c>
      <c r="Q134" s="202">
        <f>'Market Share'!G26</f>
        <v>0</v>
      </c>
      <c r="R134" s="203">
        <f t="shared" ca="1" si="67"/>
        <v>15763414.9144026</v>
      </c>
      <c r="S134" s="204">
        <f t="shared" ca="1" si="67"/>
        <v>11625309.499266984</v>
      </c>
    </row>
    <row r="135" spans="1:19" x14ac:dyDescent="0.3">
      <c r="A135" s="198" t="str">
        <f>IF(AND(VALUE(RIGHT(O135,2))&lt;=controle_formulario!$E$16,VALUE(RIGHT(K135,2))&lt;=controle_formulario!$C$10,H135&lt;=Criterios!$C$31+controle_formulario!$I$16-1),"SIM","NÃO")</f>
        <v>NÃO</v>
      </c>
      <c r="B135" s="198">
        <f t="shared" si="61"/>
        <v>0</v>
      </c>
      <c r="C135" s="198" t="str">
        <f t="shared" si="62"/>
        <v>Formrol</v>
      </c>
      <c r="D135" s="179"/>
      <c r="E135" s="198" t="str">
        <f t="shared" si="63"/>
        <v>Planilha 1</v>
      </c>
      <c r="F135" s="198" t="str">
        <f t="shared" si="64"/>
        <v>Geral</v>
      </c>
      <c r="G135" s="198" t="s">
        <v>21</v>
      </c>
      <c r="H135" s="199">
        <f t="shared" si="66"/>
        <v>2029</v>
      </c>
      <c r="I135" s="200">
        <f t="shared" ca="1" si="66"/>
        <v>36.250027878529522</v>
      </c>
      <c r="J135" s="200" t="str">
        <f>IF(controle_formulario!$C$39=1,controle_formulario!$C$37,controle_formulario!$C$38)</f>
        <v>Epidemiologico Beneficiarios Saude Suplementar</v>
      </c>
      <c r="K135" s="197" t="s">
        <v>170</v>
      </c>
      <c r="L135" s="197">
        <f t="shared" si="65"/>
        <v>0</v>
      </c>
      <c r="M135" s="201">
        <f t="shared" si="68"/>
        <v>0</v>
      </c>
      <c r="N135" s="201">
        <f t="shared" si="68"/>
        <v>0</v>
      </c>
      <c r="O135" s="197" t="s">
        <v>173</v>
      </c>
      <c r="P135" s="197">
        <f t="shared" si="69"/>
        <v>0</v>
      </c>
      <c r="Q135" s="202">
        <f>'Market Share'!G27</f>
        <v>0</v>
      </c>
      <c r="R135" s="203">
        <f t="shared" ca="1" si="67"/>
        <v>15810206.812577421</v>
      </c>
      <c r="S135" s="204">
        <f t="shared" ca="1" si="67"/>
        <v>11659817.903777955</v>
      </c>
    </row>
    <row r="136" spans="1:19" x14ac:dyDescent="0.3">
      <c r="A136" s="198" t="str">
        <f>IF(AND(VALUE(RIGHT(O136,2))&lt;=controle_formulario!$E$16,VALUE(RIGHT(K136,2))&lt;=controle_formulario!$C$10,H136&lt;=Criterios!$C$31+controle_formulario!$I$16-1),"SIM","NÃO")</f>
        <v>NÃO</v>
      </c>
      <c r="B136" s="198">
        <f t="shared" si="61"/>
        <v>0</v>
      </c>
      <c r="C136" s="198" t="str">
        <f t="shared" si="62"/>
        <v>Formrol</v>
      </c>
      <c r="D136" s="179"/>
      <c r="E136" s="198" t="str">
        <f t="shared" si="63"/>
        <v>Planilha 1</v>
      </c>
      <c r="F136" s="198" t="str">
        <f t="shared" si="64"/>
        <v>Geral</v>
      </c>
      <c r="G136" s="198" t="s">
        <v>22</v>
      </c>
      <c r="H136" s="199">
        <f t="shared" si="66"/>
        <v>2030</v>
      </c>
      <c r="I136" s="200">
        <f t="shared" ca="1" si="66"/>
        <v>36.350592396534239</v>
      </c>
      <c r="J136" s="200" t="str">
        <f>IF(controle_formulario!$C$39=1,controle_formulario!$C$37,controle_formulario!$C$38)</f>
        <v>Epidemiologico Beneficiarios Saude Suplementar</v>
      </c>
      <c r="K136" s="197" t="s">
        <v>170</v>
      </c>
      <c r="L136" s="197">
        <f t="shared" si="65"/>
        <v>0</v>
      </c>
      <c r="M136" s="201">
        <f t="shared" si="68"/>
        <v>0</v>
      </c>
      <c r="N136" s="201">
        <f t="shared" si="68"/>
        <v>0</v>
      </c>
      <c r="O136" s="197" t="s">
        <v>173</v>
      </c>
      <c r="P136" s="197">
        <f t="shared" si="69"/>
        <v>0</v>
      </c>
      <c r="Q136" s="202">
        <f>'Market Share'!G28</f>
        <v>0</v>
      </c>
      <c r="R136" s="203">
        <f t="shared" ca="1" si="67"/>
        <v>15854067.353402093</v>
      </c>
      <c r="S136" s="204">
        <f t="shared" ca="1" si="67"/>
        <v>11692164.471108755</v>
      </c>
    </row>
    <row r="137" spans="1:19" x14ac:dyDescent="0.3">
      <c r="A137" s="198" t="str">
        <f>IF(AND(VALUE(RIGHT(O137,2))&lt;=controle_formulario!$E$16,VALUE(RIGHT(K137,2))&lt;=controle_formulario!$C$10,H137&lt;=Criterios!$C$31+controle_formulario!$I$16-1),"SIM","NÃO")</f>
        <v>NÃO</v>
      </c>
      <c r="B137" s="198">
        <f t="shared" si="61"/>
        <v>0</v>
      </c>
      <c r="C137" s="198" t="str">
        <f t="shared" si="62"/>
        <v>Formrol</v>
      </c>
      <c r="D137" s="179"/>
      <c r="E137" s="198" t="str">
        <f t="shared" si="63"/>
        <v>Planilha 1</v>
      </c>
      <c r="F137" s="198" t="str">
        <f t="shared" si="64"/>
        <v>Geral</v>
      </c>
      <c r="G137" s="198" t="s">
        <v>23</v>
      </c>
      <c r="H137" s="199">
        <f t="shared" si="66"/>
        <v>2031</v>
      </c>
      <c r="I137" s="200">
        <f t="shared" si="66"/>
        <v>0</v>
      </c>
      <c r="J137" s="200" t="str">
        <f>IF(controle_formulario!$C$39=1,controle_formulario!$C$37,controle_formulario!$C$38)</f>
        <v>Epidemiologico Beneficiarios Saude Suplementar</v>
      </c>
      <c r="K137" s="197" t="s">
        <v>170</v>
      </c>
      <c r="L137" s="197">
        <f t="shared" si="65"/>
        <v>0</v>
      </c>
      <c r="M137" s="201">
        <f t="shared" si="68"/>
        <v>0</v>
      </c>
      <c r="N137" s="201">
        <f t="shared" si="68"/>
        <v>0</v>
      </c>
      <c r="O137" s="197" t="s">
        <v>173</v>
      </c>
      <c r="P137" s="197">
        <f t="shared" si="69"/>
        <v>0</v>
      </c>
      <c r="Q137" s="202">
        <f>'Market Share'!G29</f>
        <v>0</v>
      </c>
      <c r="R137" s="203">
        <f t="shared" ca="1" si="67"/>
        <v>0</v>
      </c>
      <c r="S137" s="204">
        <f t="shared" ca="1" si="67"/>
        <v>0</v>
      </c>
    </row>
    <row r="138" spans="1:19" x14ac:dyDescent="0.3">
      <c r="A138" s="198" t="str">
        <f>IF(AND(VALUE(RIGHT(O138,2))&lt;=controle_formulario!$E$16,VALUE(RIGHT(K138,2))&lt;=controle_formulario!$C$10,H138&lt;=Criterios!$C$31+controle_formulario!$I$16-1),"SIM","NÃO")</f>
        <v>NÃO</v>
      </c>
      <c r="B138" s="198">
        <f t="shared" si="61"/>
        <v>0</v>
      </c>
      <c r="C138" s="198" t="str">
        <f t="shared" si="62"/>
        <v>Formrol</v>
      </c>
      <c r="D138" s="179"/>
      <c r="E138" s="198" t="str">
        <f t="shared" si="63"/>
        <v>Planilha 1</v>
      </c>
      <c r="F138" s="198" t="str">
        <f t="shared" si="64"/>
        <v>Geral</v>
      </c>
      <c r="G138" s="198" t="s">
        <v>24</v>
      </c>
      <c r="H138" s="199">
        <f t="shared" si="66"/>
        <v>2032</v>
      </c>
      <c r="I138" s="200">
        <f t="shared" si="66"/>
        <v>0</v>
      </c>
      <c r="J138" s="200" t="str">
        <f>IF(controle_formulario!$C$39=1,controle_formulario!$C$37,controle_formulario!$C$38)</f>
        <v>Epidemiologico Beneficiarios Saude Suplementar</v>
      </c>
      <c r="K138" s="197" t="s">
        <v>170</v>
      </c>
      <c r="L138" s="197">
        <f t="shared" si="65"/>
        <v>0</v>
      </c>
      <c r="M138" s="201">
        <f t="shared" si="68"/>
        <v>0</v>
      </c>
      <c r="N138" s="201">
        <f t="shared" si="68"/>
        <v>0</v>
      </c>
      <c r="O138" s="197" t="s">
        <v>173</v>
      </c>
      <c r="P138" s="197">
        <f t="shared" si="69"/>
        <v>0</v>
      </c>
      <c r="Q138" s="202">
        <f>'Market Share'!G30</f>
        <v>0</v>
      </c>
      <c r="R138" s="203">
        <f t="shared" ca="1" si="67"/>
        <v>0</v>
      </c>
      <c r="S138" s="204">
        <f t="shared" ca="1" si="67"/>
        <v>0</v>
      </c>
    </row>
    <row r="139" spans="1:19" x14ac:dyDescent="0.3">
      <c r="A139" s="198" t="str">
        <f>IF(AND(VALUE(RIGHT(O139,2))&lt;=controle_formulario!$E$16,VALUE(RIGHT(K139,2))&lt;=controle_formulario!$C$10,H139&lt;=Criterios!$C$31+controle_formulario!$I$16-1),"SIM","NÃO")</f>
        <v>NÃO</v>
      </c>
      <c r="B139" s="198">
        <f t="shared" si="61"/>
        <v>0</v>
      </c>
      <c r="C139" s="198" t="str">
        <f t="shared" si="62"/>
        <v>Formrol</v>
      </c>
      <c r="D139" s="179"/>
      <c r="E139" s="198" t="str">
        <f t="shared" si="63"/>
        <v>Planilha 1</v>
      </c>
      <c r="F139" s="198" t="str">
        <f t="shared" si="64"/>
        <v>Geral</v>
      </c>
      <c r="G139" s="198" t="s">
        <v>25</v>
      </c>
      <c r="H139" s="199">
        <f t="shared" si="66"/>
        <v>2033</v>
      </c>
      <c r="I139" s="200">
        <f t="shared" si="66"/>
        <v>0</v>
      </c>
      <c r="J139" s="200" t="str">
        <f>IF(controle_formulario!$C$39=1,controle_formulario!$C$37,controle_formulario!$C$38)</f>
        <v>Epidemiologico Beneficiarios Saude Suplementar</v>
      </c>
      <c r="K139" s="197" t="s">
        <v>170</v>
      </c>
      <c r="L139" s="197">
        <f t="shared" si="65"/>
        <v>0</v>
      </c>
      <c r="M139" s="201">
        <f t="shared" si="68"/>
        <v>0</v>
      </c>
      <c r="N139" s="201">
        <f t="shared" si="68"/>
        <v>0</v>
      </c>
      <c r="O139" s="197" t="s">
        <v>173</v>
      </c>
      <c r="P139" s="197">
        <f t="shared" si="69"/>
        <v>0</v>
      </c>
      <c r="Q139" s="202">
        <f>'Market Share'!G31</f>
        <v>0</v>
      </c>
      <c r="R139" s="203">
        <f t="shared" ca="1" si="67"/>
        <v>0</v>
      </c>
      <c r="S139" s="204">
        <f t="shared" ca="1" si="67"/>
        <v>0</v>
      </c>
    </row>
    <row r="140" spans="1:19" x14ac:dyDescent="0.3">
      <c r="A140" s="198" t="str">
        <f>IF(AND(VALUE(RIGHT(O140,2))&lt;=controle_formulario!$E$16,VALUE(RIGHT(K140,2))&lt;=controle_formulario!$C$10,H140&lt;=Criterios!$C$31+controle_formulario!$I$16-1),"SIM","NÃO")</f>
        <v>NÃO</v>
      </c>
      <c r="B140" s="198">
        <f t="shared" si="61"/>
        <v>0</v>
      </c>
      <c r="C140" s="198" t="str">
        <f t="shared" si="62"/>
        <v>Formrol</v>
      </c>
      <c r="D140" s="179"/>
      <c r="E140" s="198" t="str">
        <f t="shared" si="63"/>
        <v>Planilha 1</v>
      </c>
      <c r="F140" s="198" t="str">
        <f t="shared" si="64"/>
        <v>Geral</v>
      </c>
      <c r="G140" s="198" t="s">
        <v>26</v>
      </c>
      <c r="H140" s="199">
        <f t="shared" si="66"/>
        <v>2034</v>
      </c>
      <c r="I140" s="200">
        <f t="shared" si="66"/>
        <v>0</v>
      </c>
      <c r="J140" s="200" t="str">
        <f>IF(controle_formulario!$C$39=1,controle_formulario!$C$37,controle_formulario!$C$38)</f>
        <v>Epidemiologico Beneficiarios Saude Suplementar</v>
      </c>
      <c r="K140" s="197" t="s">
        <v>170</v>
      </c>
      <c r="L140" s="197">
        <f t="shared" si="65"/>
        <v>0</v>
      </c>
      <c r="M140" s="201">
        <f t="shared" si="68"/>
        <v>0</v>
      </c>
      <c r="N140" s="201">
        <f t="shared" si="68"/>
        <v>0</v>
      </c>
      <c r="O140" s="197" t="s">
        <v>173</v>
      </c>
      <c r="P140" s="197">
        <f t="shared" si="69"/>
        <v>0</v>
      </c>
      <c r="Q140" s="202">
        <f>'Market Share'!G32</f>
        <v>0</v>
      </c>
      <c r="R140" s="203">
        <f t="shared" ca="1" si="67"/>
        <v>0</v>
      </c>
      <c r="S140" s="204">
        <f t="shared" ca="1" si="67"/>
        <v>0</v>
      </c>
    </row>
    <row r="141" spans="1:19" ht="15" thickBot="1" x14ac:dyDescent="0.35">
      <c r="A141" s="205" t="str">
        <f>IF(AND(VALUE(RIGHT(O141,2))&lt;=controle_formulario!$E$16,VALUE(RIGHT(K141,2))&lt;=controle_formulario!$C$10,H141&lt;=Criterios!$C$31+controle_formulario!$I$16-1),"SIM","NÃO")</f>
        <v>NÃO</v>
      </c>
      <c r="B141" s="205">
        <f t="shared" si="61"/>
        <v>0</v>
      </c>
      <c r="C141" s="205" t="str">
        <f t="shared" si="62"/>
        <v>Formrol</v>
      </c>
      <c r="D141" s="180"/>
      <c r="E141" s="205" t="str">
        <f t="shared" si="63"/>
        <v>Planilha 1</v>
      </c>
      <c r="F141" s="205" t="str">
        <f t="shared" si="64"/>
        <v>Geral</v>
      </c>
      <c r="G141" s="205" t="s">
        <v>27</v>
      </c>
      <c r="H141" s="206">
        <f t="shared" si="66"/>
        <v>2035</v>
      </c>
      <c r="I141" s="207">
        <f t="shared" si="66"/>
        <v>0</v>
      </c>
      <c r="J141" s="207" t="str">
        <f>IF(controle_formulario!$C$39=1,controle_formulario!$C$37,controle_formulario!$C$38)</f>
        <v>Epidemiologico Beneficiarios Saude Suplementar</v>
      </c>
      <c r="K141" s="208" t="s">
        <v>170</v>
      </c>
      <c r="L141" s="208">
        <f t="shared" si="65"/>
        <v>0</v>
      </c>
      <c r="M141" s="201">
        <f t="shared" si="68"/>
        <v>0</v>
      </c>
      <c r="N141" s="201">
        <f t="shared" si="68"/>
        <v>0</v>
      </c>
      <c r="O141" s="214" t="s">
        <v>173</v>
      </c>
      <c r="P141" s="214">
        <f t="shared" si="69"/>
        <v>0</v>
      </c>
      <c r="Q141" s="209">
        <f>'Market Share'!G33</f>
        <v>0</v>
      </c>
      <c r="R141" s="216">
        <f t="shared" ca="1" si="67"/>
        <v>0</v>
      </c>
      <c r="S141" s="217">
        <f t="shared" ca="1" si="67"/>
        <v>0</v>
      </c>
    </row>
    <row r="142" spans="1:19" x14ac:dyDescent="0.3">
      <c r="A142" s="189" t="str">
        <f>IF(AND(VALUE(RIGHT(O142,2))&lt;=controle_formulario!$E$16,VALUE(RIGHT(K142,2))&lt;=controle_formulario!$C$10,H142&lt;=Criterios!$C$31+controle_formulario!$I$16-1),"SIM","NÃO")</f>
        <v>NÃO</v>
      </c>
      <c r="B142" s="189">
        <f t="shared" si="61"/>
        <v>0</v>
      </c>
      <c r="C142" s="189" t="str">
        <f t="shared" si="62"/>
        <v>Formrol</v>
      </c>
      <c r="D142" s="177"/>
      <c r="E142" s="189" t="str">
        <f t="shared" si="63"/>
        <v>Planilha 1</v>
      </c>
      <c r="F142" s="189" t="str">
        <f t="shared" si="64"/>
        <v>Geral</v>
      </c>
      <c r="G142" s="189" t="s">
        <v>18</v>
      </c>
      <c r="H142" s="190">
        <f>H132</f>
        <v>2026</v>
      </c>
      <c r="I142" s="191">
        <f ca="1">I132</f>
        <v>35.902021176061034</v>
      </c>
      <c r="J142" s="191" t="str">
        <f>IF(controle_formulario!$C$39=1,controle_formulario!$C$37,controle_formulario!$C$38)</f>
        <v>Epidemiologico Beneficiarios Saude Suplementar</v>
      </c>
      <c r="K142" s="192" t="s">
        <v>171</v>
      </c>
      <c r="L142" s="192">
        <f t="shared" ref="L142:L151" si="70">trat.d</f>
        <v>0</v>
      </c>
      <c r="M142" s="193">
        <f>Resumo!$D$42</f>
        <v>0</v>
      </c>
      <c r="N142" s="193">
        <f>Resumo!$D$51</f>
        <v>0</v>
      </c>
      <c r="O142" s="192" t="s">
        <v>173</v>
      </c>
      <c r="P142" s="192">
        <f t="shared" si="69"/>
        <v>0</v>
      </c>
      <c r="Q142" s="194">
        <f>'Market Share'!H24</f>
        <v>0</v>
      </c>
      <c r="R142" s="195">
        <f ca="1">R132</f>
        <v>14426075.529299868</v>
      </c>
      <c r="S142" s="196">
        <f ca="1">S132</f>
        <v>10315531.090770964</v>
      </c>
    </row>
    <row r="143" spans="1:19" x14ac:dyDescent="0.3">
      <c r="A143" s="198" t="str">
        <f>IF(AND(VALUE(RIGHT(O143,2))&lt;=controle_formulario!$E$16,VALUE(RIGHT(K143,2))&lt;=controle_formulario!$C$10,H143&lt;=Criterios!$C$31+controle_formulario!$I$16-1),"SIM","NÃO")</f>
        <v>NÃO</v>
      </c>
      <c r="B143" s="198">
        <f t="shared" si="61"/>
        <v>0</v>
      </c>
      <c r="C143" s="198" t="str">
        <f t="shared" si="62"/>
        <v>Formrol</v>
      </c>
      <c r="D143" s="179"/>
      <c r="E143" s="198" t="str">
        <f t="shared" si="63"/>
        <v>Planilha 1</v>
      </c>
      <c r="F143" s="198" t="str">
        <f t="shared" si="64"/>
        <v>Geral</v>
      </c>
      <c r="G143" s="198" t="s">
        <v>19</v>
      </c>
      <c r="H143" s="199">
        <f t="shared" ref="H143:I151" si="71">H133</f>
        <v>2027</v>
      </c>
      <c r="I143" s="200">
        <f t="shared" ca="1" si="71"/>
        <v>36.027114594978322</v>
      </c>
      <c r="J143" s="200" t="str">
        <f>IF(controle_formulario!$C$39=1,controle_formulario!$C$37,controle_formulario!$C$38)</f>
        <v>Epidemiologico Beneficiarios Saude Suplementar</v>
      </c>
      <c r="K143" s="197" t="s">
        <v>171</v>
      </c>
      <c r="L143" s="197">
        <f t="shared" si="70"/>
        <v>0</v>
      </c>
      <c r="M143" s="201">
        <f>M142</f>
        <v>0</v>
      </c>
      <c r="N143" s="201">
        <f>N142</f>
        <v>0</v>
      </c>
      <c r="O143" s="197" t="s">
        <v>173</v>
      </c>
      <c r="P143" s="197">
        <f t="shared" si="69"/>
        <v>0</v>
      </c>
      <c r="Q143" s="202">
        <f>'Market Share'!H25</f>
        <v>0</v>
      </c>
      <c r="R143" s="203">
        <f t="shared" ref="R143:S151" ca="1" si="72">R133</f>
        <v>15712984.677300038</v>
      </c>
      <c r="S143" s="204">
        <f t="shared" ca="1" si="72"/>
        <v>11588117.86803592</v>
      </c>
    </row>
    <row r="144" spans="1:19" x14ac:dyDescent="0.3">
      <c r="A144" s="198" t="str">
        <f>IF(AND(VALUE(RIGHT(O144,2))&lt;=controle_formulario!$E$16,VALUE(RIGHT(K144,2))&lt;=controle_formulario!$C$10,H144&lt;=Criterios!$C$31+controle_formulario!$I$16-1),"SIM","NÃO")</f>
        <v>NÃO</v>
      </c>
      <c r="B144" s="198">
        <f t="shared" si="61"/>
        <v>0</v>
      </c>
      <c r="C144" s="198" t="str">
        <f t="shared" si="62"/>
        <v>Formrol</v>
      </c>
      <c r="D144" s="179"/>
      <c r="E144" s="198" t="str">
        <f t="shared" si="63"/>
        <v>Planilha 1</v>
      </c>
      <c r="F144" s="198" t="str">
        <f t="shared" si="64"/>
        <v>Geral</v>
      </c>
      <c r="G144" s="198" t="s">
        <v>20</v>
      </c>
      <c r="H144" s="199">
        <f t="shared" si="71"/>
        <v>2028</v>
      </c>
      <c r="I144" s="200">
        <f t="shared" ca="1" si="71"/>
        <v>36.142742272880319</v>
      </c>
      <c r="J144" s="200" t="str">
        <f>IF(controle_formulario!$C$39=1,controle_formulario!$C$37,controle_formulario!$C$38)</f>
        <v>Epidemiologico Beneficiarios Saude Suplementar</v>
      </c>
      <c r="K144" s="197" t="s">
        <v>171</v>
      </c>
      <c r="L144" s="197">
        <f t="shared" si="70"/>
        <v>0</v>
      </c>
      <c r="M144" s="201">
        <f t="shared" ref="M144:N151" si="73">M143</f>
        <v>0</v>
      </c>
      <c r="N144" s="201">
        <f t="shared" si="73"/>
        <v>0</v>
      </c>
      <c r="O144" s="197" t="s">
        <v>173</v>
      </c>
      <c r="P144" s="197">
        <f t="shared" si="69"/>
        <v>0</v>
      </c>
      <c r="Q144" s="202">
        <f>'Market Share'!H26</f>
        <v>0</v>
      </c>
      <c r="R144" s="203">
        <f t="shared" ca="1" si="72"/>
        <v>15763414.9144026</v>
      </c>
      <c r="S144" s="204">
        <f t="shared" ca="1" si="72"/>
        <v>11625309.499266984</v>
      </c>
    </row>
    <row r="145" spans="1:19" x14ac:dyDescent="0.3">
      <c r="A145" s="198" t="str">
        <f>IF(AND(VALUE(RIGHT(O145,2))&lt;=controle_formulario!$E$16,VALUE(RIGHT(K145,2))&lt;=controle_formulario!$C$10,H145&lt;=Criterios!$C$31+controle_formulario!$I$16-1),"SIM","NÃO")</f>
        <v>NÃO</v>
      </c>
      <c r="B145" s="198">
        <f t="shared" si="61"/>
        <v>0</v>
      </c>
      <c r="C145" s="198" t="str">
        <f t="shared" si="62"/>
        <v>Formrol</v>
      </c>
      <c r="D145" s="179"/>
      <c r="E145" s="198" t="str">
        <f t="shared" si="63"/>
        <v>Planilha 1</v>
      </c>
      <c r="F145" s="198" t="str">
        <f t="shared" si="64"/>
        <v>Geral</v>
      </c>
      <c r="G145" s="198" t="s">
        <v>21</v>
      </c>
      <c r="H145" s="199">
        <f t="shared" si="71"/>
        <v>2029</v>
      </c>
      <c r="I145" s="200">
        <f t="shared" ca="1" si="71"/>
        <v>36.250027878529522</v>
      </c>
      <c r="J145" s="200" t="str">
        <f>IF(controle_formulario!$C$39=1,controle_formulario!$C$37,controle_formulario!$C$38)</f>
        <v>Epidemiologico Beneficiarios Saude Suplementar</v>
      </c>
      <c r="K145" s="197" t="s">
        <v>171</v>
      </c>
      <c r="L145" s="197">
        <f t="shared" si="70"/>
        <v>0</v>
      </c>
      <c r="M145" s="201">
        <f t="shared" si="73"/>
        <v>0</v>
      </c>
      <c r="N145" s="201">
        <f t="shared" si="73"/>
        <v>0</v>
      </c>
      <c r="O145" s="197" t="s">
        <v>173</v>
      </c>
      <c r="P145" s="197">
        <f t="shared" si="69"/>
        <v>0</v>
      </c>
      <c r="Q145" s="202">
        <f>'Market Share'!H27</f>
        <v>0</v>
      </c>
      <c r="R145" s="203">
        <f t="shared" ca="1" si="72"/>
        <v>15810206.812577421</v>
      </c>
      <c r="S145" s="204">
        <f t="shared" ca="1" si="72"/>
        <v>11659817.903777955</v>
      </c>
    </row>
    <row r="146" spans="1:19" x14ac:dyDescent="0.3">
      <c r="A146" s="198" t="str">
        <f>IF(AND(VALUE(RIGHT(O146,2))&lt;=controle_formulario!$E$16,VALUE(RIGHT(K146,2))&lt;=controle_formulario!$C$10,H146&lt;=Criterios!$C$31+controle_formulario!$I$16-1),"SIM","NÃO")</f>
        <v>NÃO</v>
      </c>
      <c r="B146" s="198">
        <f t="shared" si="61"/>
        <v>0</v>
      </c>
      <c r="C146" s="198" t="str">
        <f t="shared" si="62"/>
        <v>Formrol</v>
      </c>
      <c r="D146" s="179"/>
      <c r="E146" s="198" t="str">
        <f t="shared" si="63"/>
        <v>Planilha 1</v>
      </c>
      <c r="F146" s="198" t="str">
        <f t="shared" si="64"/>
        <v>Geral</v>
      </c>
      <c r="G146" s="198" t="s">
        <v>22</v>
      </c>
      <c r="H146" s="199">
        <f t="shared" si="71"/>
        <v>2030</v>
      </c>
      <c r="I146" s="200">
        <f t="shared" ca="1" si="71"/>
        <v>36.350592396534239</v>
      </c>
      <c r="J146" s="200" t="str">
        <f>IF(controle_formulario!$C$39=1,controle_formulario!$C$37,controle_formulario!$C$38)</f>
        <v>Epidemiologico Beneficiarios Saude Suplementar</v>
      </c>
      <c r="K146" s="197" t="s">
        <v>171</v>
      </c>
      <c r="L146" s="197">
        <f t="shared" si="70"/>
        <v>0</v>
      </c>
      <c r="M146" s="201">
        <f t="shared" si="73"/>
        <v>0</v>
      </c>
      <c r="N146" s="201">
        <f t="shared" si="73"/>
        <v>0</v>
      </c>
      <c r="O146" s="197" t="s">
        <v>173</v>
      </c>
      <c r="P146" s="197">
        <f t="shared" si="69"/>
        <v>0</v>
      </c>
      <c r="Q146" s="202">
        <f>'Market Share'!H28</f>
        <v>0</v>
      </c>
      <c r="R146" s="203">
        <f t="shared" ca="1" si="72"/>
        <v>15854067.353402093</v>
      </c>
      <c r="S146" s="204">
        <f t="shared" ca="1" si="72"/>
        <v>11692164.471108755</v>
      </c>
    </row>
    <row r="147" spans="1:19" x14ac:dyDescent="0.3">
      <c r="A147" s="198" t="str">
        <f>IF(AND(VALUE(RIGHT(O147,2))&lt;=controle_formulario!$E$16,VALUE(RIGHT(K147,2))&lt;=controle_formulario!$C$10,H147&lt;=Criterios!$C$31+controle_formulario!$I$16-1),"SIM","NÃO")</f>
        <v>NÃO</v>
      </c>
      <c r="B147" s="198">
        <f t="shared" si="61"/>
        <v>0</v>
      </c>
      <c r="C147" s="198" t="str">
        <f t="shared" si="62"/>
        <v>Formrol</v>
      </c>
      <c r="D147" s="179"/>
      <c r="E147" s="198" t="str">
        <f t="shared" si="63"/>
        <v>Planilha 1</v>
      </c>
      <c r="F147" s="198" t="str">
        <f t="shared" si="64"/>
        <v>Geral</v>
      </c>
      <c r="G147" s="198" t="s">
        <v>23</v>
      </c>
      <c r="H147" s="199">
        <f t="shared" si="71"/>
        <v>2031</v>
      </c>
      <c r="I147" s="200">
        <f t="shared" si="71"/>
        <v>0</v>
      </c>
      <c r="J147" s="200" t="str">
        <f>IF(controle_formulario!$C$39=1,controle_formulario!$C$37,controle_formulario!$C$38)</f>
        <v>Epidemiologico Beneficiarios Saude Suplementar</v>
      </c>
      <c r="K147" s="197" t="s">
        <v>171</v>
      </c>
      <c r="L147" s="197">
        <f t="shared" si="70"/>
        <v>0</v>
      </c>
      <c r="M147" s="201">
        <f t="shared" si="73"/>
        <v>0</v>
      </c>
      <c r="N147" s="201">
        <f t="shared" si="73"/>
        <v>0</v>
      </c>
      <c r="O147" s="197" t="s">
        <v>173</v>
      </c>
      <c r="P147" s="197">
        <f t="shared" si="69"/>
        <v>0</v>
      </c>
      <c r="Q147" s="202">
        <f>'Market Share'!H29</f>
        <v>0</v>
      </c>
      <c r="R147" s="203">
        <f t="shared" ca="1" si="72"/>
        <v>0</v>
      </c>
      <c r="S147" s="204">
        <f t="shared" ca="1" si="72"/>
        <v>0</v>
      </c>
    </row>
    <row r="148" spans="1:19" x14ac:dyDescent="0.3">
      <c r="A148" s="198" t="str">
        <f>IF(AND(VALUE(RIGHT(O148,2))&lt;=controle_formulario!$E$16,VALUE(RIGHT(K148,2))&lt;=controle_formulario!$C$10,H148&lt;=Criterios!$C$31+controle_formulario!$I$16-1),"SIM","NÃO")</f>
        <v>NÃO</v>
      </c>
      <c r="B148" s="198">
        <f t="shared" si="61"/>
        <v>0</v>
      </c>
      <c r="C148" s="198" t="str">
        <f t="shared" si="62"/>
        <v>Formrol</v>
      </c>
      <c r="D148" s="179"/>
      <c r="E148" s="198" t="str">
        <f t="shared" si="63"/>
        <v>Planilha 1</v>
      </c>
      <c r="F148" s="198" t="str">
        <f t="shared" si="64"/>
        <v>Geral</v>
      </c>
      <c r="G148" s="198" t="s">
        <v>24</v>
      </c>
      <c r="H148" s="199">
        <f t="shared" si="71"/>
        <v>2032</v>
      </c>
      <c r="I148" s="200">
        <f t="shared" si="71"/>
        <v>0</v>
      </c>
      <c r="J148" s="200" t="str">
        <f>IF(controle_formulario!$C$39=1,controle_formulario!$C$37,controle_formulario!$C$38)</f>
        <v>Epidemiologico Beneficiarios Saude Suplementar</v>
      </c>
      <c r="K148" s="197" t="s">
        <v>171</v>
      </c>
      <c r="L148" s="197">
        <f t="shared" si="70"/>
        <v>0</v>
      </c>
      <c r="M148" s="201">
        <f t="shared" si="73"/>
        <v>0</v>
      </c>
      <c r="N148" s="201">
        <f t="shared" si="73"/>
        <v>0</v>
      </c>
      <c r="O148" s="197" t="s">
        <v>173</v>
      </c>
      <c r="P148" s="197">
        <f t="shared" si="69"/>
        <v>0</v>
      </c>
      <c r="Q148" s="202">
        <f>'Market Share'!H30</f>
        <v>0</v>
      </c>
      <c r="R148" s="203">
        <f t="shared" ca="1" si="72"/>
        <v>0</v>
      </c>
      <c r="S148" s="204">
        <f t="shared" ca="1" si="72"/>
        <v>0</v>
      </c>
    </row>
    <row r="149" spans="1:19" x14ac:dyDescent="0.3">
      <c r="A149" s="198" t="str">
        <f>IF(AND(VALUE(RIGHT(O149,2))&lt;=controle_formulario!$E$16,VALUE(RIGHT(K149,2))&lt;=controle_formulario!$C$10,H149&lt;=Criterios!$C$31+controle_formulario!$I$16-1),"SIM","NÃO")</f>
        <v>NÃO</v>
      </c>
      <c r="B149" s="198">
        <f t="shared" si="61"/>
        <v>0</v>
      </c>
      <c r="C149" s="198" t="str">
        <f t="shared" si="62"/>
        <v>Formrol</v>
      </c>
      <c r="D149" s="179"/>
      <c r="E149" s="198" t="str">
        <f t="shared" si="63"/>
        <v>Planilha 1</v>
      </c>
      <c r="F149" s="198" t="str">
        <f t="shared" si="64"/>
        <v>Geral</v>
      </c>
      <c r="G149" s="198" t="s">
        <v>25</v>
      </c>
      <c r="H149" s="199">
        <f t="shared" si="71"/>
        <v>2033</v>
      </c>
      <c r="I149" s="200">
        <f t="shared" si="71"/>
        <v>0</v>
      </c>
      <c r="J149" s="200" t="str">
        <f>IF(controle_formulario!$C$39=1,controle_formulario!$C$37,controle_formulario!$C$38)</f>
        <v>Epidemiologico Beneficiarios Saude Suplementar</v>
      </c>
      <c r="K149" s="197" t="s">
        <v>171</v>
      </c>
      <c r="L149" s="197">
        <f t="shared" si="70"/>
        <v>0</v>
      </c>
      <c r="M149" s="201">
        <f t="shared" si="73"/>
        <v>0</v>
      </c>
      <c r="N149" s="201">
        <f t="shared" si="73"/>
        <v>0</v>
      </c>
      <c r="O149" s="197" t="s">
        <v>173</v>
      </c>
      <c r="P149" s="197">
        <f t="shared" si="69"/>
        <v>0</v>
      </c>
      <c r="Q149" s="202">
        <f>'Market Share'!H31</f>
        <v>0</v>
      </c>
      <c r="R149" s="203">
        <f t="shared" ca="1" si="72"/>
        <v>0</v>
      </c>
      <c r="S149" s="204">
        <f t="shared" ca="1" si="72"/>
        <v>0</v>
      </c>
    </row>
    <row r="150" spans="1:19" x14ac:dyDescent="0.3">
      <c r="A150" s="198" t="str">
        <f>IF(AND(VALUE(RIGHT(O150,2))&lt;=controle_formulario!$E$16,VALUE(RIGHT(K150,2))&lt;=controle_formulario!$C$10,H150&lt;=Criterios!$C$31+controle_formulario!$I$16-1),"SIM","NÃO")</f>
        <v>NÃO</v>
      </c>
      <c r="B150" s="198">
        <f t="shared" si="61"/>
        <v>0</v>
      </c>
      <c r="C150" s="198" t="str">
        <f t="shared" si="62"/>
        <v>Formrol</v>
      </c>
      <c r="D150" s="179"/>
      <c r="E150" s="198" t="str">
        <f t="shared" si="63"/>
        <v>Planilha 1</v>
      </c>
      <c r="F150" s="198" t="str">
        <f t="shared" si="64"/>
        <v>Geral</v>
      </c>
      <c r="G150" s="198" t="s">
        <v>26</v>
      </c>
      <c r="H150" s="199">
        <f t="shared" si="71"/>
        <v>2034</v>
      </c>
      <c r="I150" s="200">
        <f t="shared" si="71"/>
        <v>0</v>
      </c>
      <c r="J150" s="200" t="str">
        <f>IF(controle_formulario!$C$39=1,controle_formulario!$C$37,controle_formulario!$C$38)</f>
        <v>Epidemiologico Beneficiarios Saude Suplementar</v>
      </c>
      <c r="K150" s="197" t="s">
        <v>171</v>
      </c>
      <c r="L150" s="197">
        <f t="shared" si="70"/>
        <v>0</v>
      </c>
      <c r="M150" s="201">
        <f t="shared" si="73"/>
        <v>0</v>
      </c>
      <c r="N150" s="201">
        <f t="shared" si="73"/>
        <v>0</v>
      </c>
      <c r="O150" s="197" t="s">
        <v>173</v>
      </c>
      <c r="P150" s="197">
        <f t="shared" si="69"/>
        <v>0</v>
      </c>
      <c r="Q150" s="202">
        <f>'Market Share'!H32</f>
        <v>0</v>
      </c>
      <c r="R150" s="203">
        <f t="shared" ca="1" si="72"/>
        <v>0</v>
      </c>
      <c r="S150" s="204">
        <f t="shared" ca="1" si="72"/>
        <v>0</v>
      </c>
    </row>
    <row r="151" spans="1:19" ht="15" thickBot="1" x14ac:dyDescent="0.35">
      <c r="A151" s="205" t="str">
        <f>IF(AND(VALUE(RIGHT(O151,2))&lt;=controle_formulario!$E$16,VALUE(RIGHT(K151,2))&lt;=controle_formulario!$C$10,H151&lt;=Criterios!$C$31+controle_formulario!$I$16-1),"SIM","NÃO")</f>
        <v>NÃO</v>
      </c>
      <c r="B151" s="205">
        <f t="shared" si="61"/>
        <v>0</v>
      </c>
      <c r="C151" s="205" t="str">
        <f t="shared" si="62"/>
        <v>Formrol</v>
      </c>
      <c r="D151" s="180"/>
      <c r="E151" s="205" t="str">
        <f t="shared" si="63"/>
        <v>Planilha 1</v>
      </c>
      <c r="F151" s="205" t="str">
        <f t="shared" si="64"/>
        <v>Geral</v>
      </c>
      <c r="G151" s="205" t="s">
        <v>27</v>
      </c>
      <c r="H151" s="212">
        <f t="shared" si="71"/>
        <v>2035</v>
      </c>
      <c r="I151" s="213">
        <f t="shared" si="71"/>
        <v>0</v>
      </c>
      <c r="J151" s="213" t="str">
        <f>IF(controle_formulario!$C$39=1,controle_formulario!$C$37,controle_formulario!$C$38)</f>
        <v>Epidemiologico Beneficiarios Saude Suplementar</v>
      </c>
      <c r="K151" s="214" t="s">
        <v>171</v>
      </c>
      <c r="L151" s="214">
        <f t="shared" si="70"/>
        <v>0</v>
      </c>
      <c r="M151" s="201">
        <f t="shared" si="73"/>
        <v>0</v>
      </c>
      <c r="N151" s="201">
        <f t="shared" si="73"/>
        <v>0</v>
      </c>
      <c r="O151" s="214" t="s">
        <v>173</v>
      </c>
      <c r="P151" s="214">
        <f t="shared" si="69"/>
        <v>0</v>
      </c>
      <c r="Q151" s="215">
        <f>'Market Share'!H33</f>
        <v>0</v>
      </c>
      <c r="R151" s="216">
        <f t="shared" ca="1" si="72"/>
        <v>0</v>
      </c>
      <c r="S151" s="217">
        <f t="shared" ca="1" si="72"/>
        <v>0</v>
      </c>
    </row>
    <row r="152" spans="1:19" x14ac:dyDescent="0.3">
      <c r="A152" s="189" t="str">
        <f>IF(AND(VALUE(RIGHT(O152,2))&lt;=controle_formulario!$E$16,H152&lt;=Criterios!$C$31+controle_formulario!$I$16-1),"SIM","NÃO")</f>
        <v>NÃO</v>
      </c>
      <c r="B152" s="189">
        <f t="shared" si="61"/>
        <v>0</v>
      </c>
      <c r="C152" s="189" t="str">
        <f t="shared" si="62"/>
        <v>Formrol</v>
      </c>
      <c r="D152" s="177"/>
      <c r="E152" s="189" t="str">
        <f t="shared" si="63"/>
        <v>Planilha 1</v>
      </c>
      <c r="F152" s="189" t="str">
        <f t="shared" si="64"/>
        <v>Geral</v>
      </c>
      <c r="G152" s="189" t="s">
        <v>18</v>
      </c>
      <c r="H152" s="190">
        <f>H142</f>
        <v>2026</v>
      </c>
      <c r="I152" s="191">
        <f ca="1">I142</f>
        <v>35.902021176061034</v>
      </c>
      <c r="J152" s="191" t="str">
        <f>IF(controle_formulario!$C$39=1,controle_formulario!$C$37,controle_formulario!$C$38)</f>
        <v>Epidemiologico Beneficiarios Saude Suplementar</v>
      </c>
      <c r="K152" s="192" t="s">
        <v>157</v>
      </c>
      <c r="L152" s="192" t="str">
        <f t="shared" ref="L152:L161" si="74">trat.novo</f>
        <v>Pirtobrutinibe</v>
      </c>
      <c r="M152" s="193">
        <f>Resumo!$D$38</f>
        <v>470468.67999999976</v>
      </c>
      <c r="N152" s="193">
        <f>Resumo!$D$47</f>
        <v>0</v>
      </c>
      <c r="O152" s="192" t="s">
        <v>174</v>
      </c>
      <c r="P152" s="192" t="str">
        <f t="shared" ref="P152:P183" si="75">cen.alt3</f>
        <v>Taxa de difusão em X anos: XX%</v>
      </c>
      <c r="Q152" s="194">
        <f>'Market Share'!L24</f>
        <v>0</v>
      </c>
      <c r="R152" s="195">
        <f ca="1">Resumo!G56</f>
        <v>0</v>
      </c>
      <c r="S152" s="196">
        <f ca="1">Resumo!G72</f>
        <v>-4110544.4385289042</v>
      </c>
    </row>
    <row r="153" spans="1:19" x14ac:dyDescent="0.3">
      <c r="A153" s="198" t="str">
        <f>IF(AND(VALUE(RIGHT(O153,2))&lt;=controle_formulario!$E$16,H153&lt;=Criterios!$C$31+controle_formulario!$I$16-1),"SIM","NÃO")</f>
        <v>NÃO</v>
      </c>
      <c r="B153" s="198">
        <f t="shared" si="61"/>
        <v>0</v>
      </c>
      <c r="C153" s="198" t="str">
        <f t="shared" si="62"/>
        <v>Formrol</v>
      </c>
      <c r="D153" s="179"/>
      <c r="E153" s="198" t="str">
        <f t="shared" si="63"/>
        <v>Planilha 1</v>
      </c>
      <c r="F153" s="198" t="str">
        <f t="shared" si="64"/>
        <v>Geral</v>
      </c>
      <c r="G153" s="198" t="s">
        <v>19</v>
      </c>
      <c r="H153" s="199">
        <f t="shared" ref="H153:I161" si="76">H143</f>
        <v>2027</v>
      </c>
      <c r="I153" s="200">
        <f t="shared" ca="1" si="76"/>
        <v>36.027114594978322</v>
      </c>
      <c r="J153" s="200" t="str">
        <f>IF(controle_formulario!$C$39=1,controle_formulario!$C$37,controle_formulario!$C$38)</f>
        <v>Epidemiologico Beneficiarios Saude Suplementar</v>
      </c>
      <c r="K153" s="197" t="s">
        <v>157</v>
      </c>
      <c r="L153" s="197" t="str">
        <f t="shared" si="74"/>
        <v>Pirtobrutinibe</v>
      </c>
      <c r="M153" s="201">
        <f>M152</f>
        <v>470468.67999999976</v>
      </c>
      <c r="N153" s="201">
        <f>N152</f>
        <v>0</v>
      </c>
      <c r="O153" s="197" t="s">
        <v>174</v>
      </c>
      <c r="P153" s="197" t="str">
        <f t="shared" si="75"/>
        <v>Taxa de difusão em X anos: XX%</v>
      </c>
      <c r="Q153" s="202">
        <f>'Market Share'!L25</f>
        <v>0</v>
      </c>
      <c r="R153" s="203">
        <f ca="1">Resumo!G57</f>
        <v>0</v>
      </c>
      <c r="S153" s="204">
        <f ca="1">Resumo!G73</f>
        <v>-4124866.8092641174</v>
      </c>
    </row>
    <row r="154" spans="1:19" x14ac:dyDescent="0.3">
      <c r="A154" s="198" t="str">
        <f>IF(AND(VALUE(RIGHT(O154,2))&lt;=controle_formulario!$E$16,H154&lt;=Criterios!$C$31+controle_formulario!$I$16-1),"SIM","NÃO")</f>
        <v>NÃO</v>
      </c>
      <c r="B154" s="198">
        <f t="shared" si="61"/>
        <v>0</v>
      </c>
      <c r="C154" s="198" t="str">
        <f t="shared" si="62"/>
        <v>Formrol</v>
      </c>
      <c r="D154" s="179"/>
      <c r="E154" s="198" t="str">
        <f t="shared" si="63"/>
        <v>Planilha 1</v>
      </c>
      <c r="F154" s="198" t="str">
        <f t="shared" si="64"/>
        <v>Geral</v>
      </c>
      <c r="G154" s="198" t="s">
        <v>20</v>
      </c>
      <c r="H154" s="199">
        <f t="shared" si="76"/>
        <v>2028</v>
      </c>
      <c r="I154" s="200">
        <f t="shared" ca="1" si="76"/>
        <v>36.142742272880319</v>
      </c>
      <c r="J154" s="200" t="str">
        <f>IF(controle_formulario!$C$39=1,controle_formulario!$C$37,controle_formulario!$C$38)</f>
        <v>Epidemiologico Beneficiarios Saude Suplementar</v>
      </c>
      <c r="K154" s="197" t="s">
        <v>157</v>
      </c>
      <c r="L154" s="197" t="str">
        <f t="shared" si="74"/>
        <v>Pirtobrutinibe</v>
      </c>
      <c r="M154" s="201">
        <f t="shared" ref="M154:N161" si="77">M153</f>
        <v>470468.67999999976</v>
      </c>
      <c r="N154" s="201">
        <f t="shared" si="77"/>
        <v>0</v>
      </c>
      <c r="O154" s="197" t="s">
        <v>174</v>
      </c>
      <c r="P154" s="197" t="str">
        <f t="shared" si="75"/>
        <v>Taxa de difusão em X anos: XX%</v>
      </c>
      <c r="Q154" s="202">
        <f>'Market Share'!L26</f>
        <v>0</v>
      </c>
      <c r="R154" s="203">
        <f ca="1">Resumo!G58</f>
        <v>0</v>
      </c>
      <c r="S154" s="204">
        <f ca="1">Resumo!G74</f>
        <v>-4138105.4151356164</v>
      </c>
    </row>
    <row r="155" spans="1:19" x14ac:dyDescent="0.3">
      <c r="A155" s="198" t="str">
        <f>IF(AND(VALUE(RIGHT(O155,2))&lt;=controle_formulario!$E$16,H155&lt;=Criterios!$C$31+controle_formulario!$I$16-1),"SIM","NÃO")</f>
        <v>NÃO</v>
      </c>
      <c r="B155" s="198">
        <f t="shared" si="61"/>
        <v>0</v>
      </c>
      <c r="C155" s="198" t="str">
        <f t="shared" si="62"/>
        <v>Formrol</v>
      </c>
      <c r="D155" s="179"/>
      <c r="E155" s="198" t="str">
        <f t="shared" si="63"/>
        <v>Planilha 1</v>
      </c>
      <c r="F155" s="198" t="str">
        <f t="shared" si="64"/>
        <v>Geral</v>
      </c>
      <c r="G155" s="198" t="s">
        <v>21</v>
      </c>
      <c r="H155" s="199">
        <f t="shared" si="76"/>
        <v>2029</v>
      </c>
      <c r="I155" s="200">
        <f t="shared" ca="1" si="76"/>
        <v>36.250027878529522</v>
      </c>
      <c r="J155" s="200" t="str">
        <f>IF(controle_formulario!$C$39=1,controle_formulario!$C$37,controle_formulario!$C$38)</f>
        <v>Epidemiologico Beneficiarios Saude Suplementar</v>
      </c>
      <c r="K155" s="197" t="s">
        <v>157</v>
      </c>
      <c r="L155" s="197" t="str">
        <f t="shared" si="74"/>
        <v>Pirtobrutinibe</v>
      </c>
      <c r="M155" s="201">
        <f t="shared" si="77"/>
        <v>470468.67999999976</v>
      </c>
      <c r="N155" s="201">
        <f t="shared" si="77"/>
        <v>0</v>
      </c>
      <c r="O155" s="197" t="s">
        <v>174</v>
      </c>
      <c r="P155" s="197" t="str">
        <f t="shared" si="75"/>
        <v>Taxa de difusão em X anos: XX%</v>
      </c>
      <c r="Q155" s="202">
        <f>'Market Share'!L27</f>
        <v>0</v>
      </c>
      <c r="R155" s="203">
        <f ca="1">Resumo!G59</f>
        <v>0</v>
      </c>
      <c r="S155" s="204">
        <f ca="1">Resumo!G75</f>
        <v>-4150388.9087994657</v>
      </c>
    </row>
    <row r="156" spans="1:19" x14ac:dyDescent="0.3">
      <c r="A156" s="198" t="str">
        <f>IF(AND(VALUE(RIGHT(O156,2))&lt;=controle_formulario!$E$16,H156&lt;=Criterios!$C$31+controle_formulario!$I$16-1),"SIM","NÃO")</f>
        <v>NÃO</v>
      </c>
      <c r="B156" s="198">
        <f t="shared" si="61"/>
        <v>0</v>
      </c>
      <c r="C156" s="198" t="str">
        <f t="shared" si="62"/>
        <v>Formrol</v>
      </c>
      <c r="D156" s="179"/>
      <c r="E156" s="198" t="str">
        <f t="shared" si="63"/>
        <v>Planilha 1</v>
      </c>
      <c r="F156" s="198" t="str">
        <f t="shared" si="64"/>
        <v>Geral</v>
      </c>
      <c r="G156" s="198" t="s">
        <v>22</v>
      </c>
      <c r="H156" s="199">
        <f t="shared" si="76"/>
        <v>2030</v>
      </c>
      <c r="I156" s="200">
        <f t="shared" ca="1" si="76"/>
        <v>36.350592396534239</v>
      </c>
      <c r="J156" s="200" t="str">
        <f>IF(controle_formulario!$C$39=1,controle_formulario!$C$37,controle_formulario!$C$38)</f>
        <v>Epidemiologico Beneficiarios Saude Suplementar</v>
      </c>
      <c r="K156" s="197" t="s">
        <v>157</v>
      </c>
      <c r="L156" s="197" t="str">
        <f t="shared" si="74"/>
        <v>Pirtobrutinibe</v>
      </c>
      <c r="M156" s="201">
        <f t="shared" si="77"/>
        <v>470468.67999999976</v>
      </c>
      <c r="N156" s="201">
        <f t="shared" si="77"/>
        <v>0</v>
      </c>
      <c r="O156" s="197" t="s">
        <v>174</v>
      </c>
      <c r="P156" s="197" t="str">
        <f t="shared" si="75"/>
        <v>Taxa de difusão em X anos: XX%</v>
      </c>
      <c r="Q156" s="202">
        <f>'Market Share'!L28</f>
        <v>0</v>
      </c>
      <c r="R156" s="203">
        <f ca="1">Resumo!G60</f>
        <v>0</v>
      </c>
      <c r="S156" s="204">
        <f ca="1">Resumo!G76</f>
        <v>-4161902.8822933384</v>
      </c>
    </row>
    <row r="157" spans="1:19" x14ac:dyDescent="0.3">
      <c r="A157" s="198" t="str">
        <f>IF(AND(VALUE(RIGHT(O157,2))&lt;=controle_formulario!$E$16,H157&lt;=Criterios!$C$31+controle_formulario!$I$16-1),"SIM","NÃO")</f>
        <v>NÃO</v>
      </c>
      <c r="B157" s="198">
        <f t="shared" si="61"/>
        <v>0</v>
      </c>
      <c r="C157" s="198" t="str">
        <f t="shared" si="62"/>
        <v>Formrol</v>
      </c>
      <c r="D157" s="179"/>
      <c r="E157" s="198" t="str">
        <f t="shared" si="63"/>
        <v>Planilha 1</v>
      </c>
      <c r="F157" s="198" t="str">
        <f t="shared" si="64"/>
        <v>Geral</v>
      </c>
      <c r="G157" s="198" t="s">
        <v>23</v>
      </c>
      <c r="H157" s="199">
        <f t="shared" si="76"/>
        <v>2031</v>
      </c>
      <c r="I157" s="200">
        <f t="shared" si="76"/>
        <v>0</v>
      </c>
      <c r="J157" s="200" t="str">
        <f>IF(controle_formulario!$C$39=1,controle_formulario!$C$37,controle_formulario!$C$38)</f>
        <v>Epidemiologico Beneficiarios Saude Suplementar</v>
      </c>
      <c r="K157" s="197" t="s">
        <v>157</v>
      </c>
      <c r="L157" s="197" t="str">
        <f t="shared" si="74"/>
        <v>Pirtobrutinibe</v>
      </c>
      <c r="M157" s="201">
        <f t="shared" si="77"/>
        <v>470468.67999999976</v>
      </c>
      <c r="N157" s="201">
        <f t="shared" si="77"/>
        <v>0</v>
      </c>
      <c r="O157" s="197" t="s">
        <v>174</v>
      </c>
      <c r="P157" s="197" t="str">
        <f t="shared" si="75"/>
        <v>Taxa de difusão em X anos: XX%</v>
      </c>
      <c r="Q157" s="202">
        <f>'Market Share'!L29</f>
        <v>0</v>
      </c>
      <c r="R157" s="203">
        <f ca="1">Resumo!G61</f>
        <v>0</v>
      </c>
      <c r="S157" s="204">
        <f ca="1">Resumo!G77</f>
        <v>0</v>
      </c>
    </row>
    <row r="158" spans="1:19" x14ac:dyDescent="0.3">
      <c r="A158" s="198" t="str">
        <f>IF(AND(VALUE(RIGHT(O158,2))&lt;=controle_formulario!$E$16,H158&lt;=Criterios!$C$31+controle_formulario!$I$16-1),"SIM","NÃO")</f>
        <v>NÃO</v>
      </c>
      <c r="B158" s="198">
        <f t="shared" si="61"/>
        <v>0</v>
      </c>
      <c r="C158" s="198" t="str">
        <f t="shared" si="62"/>
        <v>Formrol</v>
      </c>
      <c r="D158" s="179"/>
      <c r="E158" s="198" t="str">
        <f t="shared" si="63"/>
        <v>Planilha 1</v>
      </c>
      <c r="F158" s="198" t="str">
        <f t="shared" si="64"/>
        <v>Geral</v>
      </c>
      <c r="G158" s="198" t="s">
        <v>24</v>
      </c>
      <c r="H158" s="199">
        <f t="shared" si="76"/>
        <v>2032</v>
      </c>
      <c r="I158" s="200">
        <f t="shared" si="76"/>
        <v>0</v>
      </c>
      <c r="J158" s="200" t="str">
        <f>IF(controle_formulario!$C$39=1,controle_formulario!$C$37,controle_formulario!$C$38)</f>
        <v>Epidemiologico Beneficiarios Saude Suplementar</v>
      </c>
      <c r="K158" s="197" t="s">
        <v>157</v>
      </c>
      <c r="L158" s="197" t="str">
        <f t="shared" si="74"/>
        <v>Pirtobrutinibe</v>
      </c>
      <c r="M158" s="201">
        <f t="shared" si="77"/>
        <v>470468.67999999976</v>
      </c>
      <c r="N158" s="201">
        <f t="shared" si="77"/>
        <v>0</v>
      </c>
      <c r="O158" s="197" t="s">
        <v>174</v>
      </c>
      <c r="P158" s="197" t="str">
        <f t="shared" si="75"/>
        <v>Taxa de difusão em X anos: XX%</v>
      </c>
      <c r="Q158" s="202">
        <f>'Market Share'!L30</f>
        <v>0</v>
      </c>
      <c r="R158" s="203">
        <f ca="1">Resumo!G62</f>
        <v>0</v>
      </c>
      <c r="S158" s="204">
        <f ca="1">Resumo!G78</f>
        <v>0</v>
      </c>
    </row>
    <row r="159" spans="1:19" x14ac:dyDescent="0.3">
      <c r="A159" s="198" t="str">
        <f>IF(AND(VALUE(RIGHT(O159,2))&lt;=controle_formulario!$E$16,H159&lt;=Criterios!$C$31+controle_formulario!$I$16-1),"SIM","NÃO")</f>
        <v>NÃO</v>
      </c>
      <c r="B159" s="198">
        <f t="shared" si="61"/>
        <v>0</v>
      </c>
      <c r="C159" s="198" t="str">
        <f t="shared" si="62"/>
        <v>Formrol</v>
      </c>
      <c r="D159" s="179"/>
      <c r="E159" s="198" t="str">
        <f t="shared" si="63"/>
        <v>Planilha 1</v>
      </c>
      <c r="F159" s="198" t="str">
        <f t="shared" si="64"/>
        <v>Geral</v>
      </c>
      <c r="G159" s="198" t="s">
        <v>25</v>
      </c>
      <c r="H159" s="199">
        <f t="shared" si="76"/>
        <v>2033</v>
      </c>
      <c r="I159" s="200">
        <f t="shared" si="76"/>
        <v>0</v>
      </c>
      <c r="J159" s="200" t="str">
        <f>IF(controle_formulario!$C$39=1,controle_formulario!$C$37,controle_formulario!$C$38)</f>
        <v>Epidemiologico Beneficiarios Saude Suplementar</v>
      </c>
      <c r="K159" s="197" t="s">
        <v>157</v>
      </c>
      <c r="L159" s="197" t="str">
        <f t="shared" si="74"/>
        <v>Pirtobrutinibe</v>
      </c>
      <c r="M159" s="201">
        <f t="shared" si="77"/>
        <v>470468.67999999976</v>
      </c>
      <c r="N159" s="201">
        <f t="shared" si="77"/>
        <v>0</v>
      </c>
      <c r="O159" s="197" t="s">
        <v>174</v>
      </c>
      <c r="P159" s="197" t="str">
        <f t="shared" si="75"/>
        <v>Taxa de difusão em X anos: XX%</v>
      </c>
      <c r="Q159" s="202">
        <f>'Market Share'!L31</f>
        <v>0</v>
      </c>
      <c r="R159" s="203">
        <f ca="1">Resumo!G63</f>
        <v>0</v>
      </c>
      <c r="S159" s="204">
        <f ca="1">Resumo!G79</f>
        <v>0</v>
      </c>
    </row>
    <row r="160" spans="1:19" x14ac:dyDescent="0.3">
      <c r="A160" s="198" t="str">
        <f>IF(AND(VALUE(RIGHT(O160,2))&lt;=controle_formulario!$E$16,H160&lt;=Criterios!$C$31+controle_formulario!$I$16-1),"SIM","NÃO")</f>
        <v>NÃO</v>
      </c>
      <c r="B160" s="198">
        <f t="shared" si="61"/>
        <v>0</v>
      </c>
      <c r="C160" s="198" t="str">
        <f t="shared" si="62"/>
        <v>Formrol</v>
      </c>
      <c r="D160" s="179"/>
      <c r="E160" s="198" t="str">
        <f t="shared" si="63"/>
        <v>Planilha 1</v>
      </c>
      <c r="F160" s="198" t="str">
        <f t="shared" si="64"/>
        <v>Geral</v>
      </c>
      <c r="G160" s="198" t="s">
        <v>26</v>
      </c>
      <c r="H160" s="199">
        <f t="shared" si="76"/>
        <v>2034</v>
      </c>
      <c r="I160" s="200">
        <f t="shared" si="76"/>
        <v>0</v>
      </c>
      <c r="J160" s="200" t="str">
        <f>IF(controle_formulario!$C$39=1,controle_formulario!$C$37,controle_formulario!$C$38)</f>
        <v>Epidemiologico Beneficiarios Saude Suplementar</v>
      </c>
      <c r="K160" s="197" t="s">
        <v>157</v>
      </c>
      <c r="L160" s="197" t="str">
        <f t="shared" si="74"/>
        <v>Pirtobrutinibe</v>
      </c>
      <c r="M160" s="201">
        <f t="shared" si="77"/>
        <v>470468.67999999976</v>
      </c>
      <c r="N160" s="201">
        <f t="shared" si="77"/>
        <v>0</v>
      </c>
      <c r="O160" s="197" t="s">
        <v>174</v>
      </c>
      <c r="P160" s="197" t="str">
        <f t="shared" si="75"/>
        <v>Taxa de difusão em X anos: XX%</v>
      </c>
      <c r="Q160" s="202">
        <f>'Market Share'!L32</f>
        <v>0</v>
      </c>
      <c r="R160" s="203">
        <f ca="1">Resumo!G64</f>
        <v>0</v>
      </c>
      <c r="S160" s="204">
        <f ca="1">Resumo!G80</f>
        <v>0</v>
      </c>
    </row>
    <row r="161" spans="1:19" ht="15" thickBot="1" x14ac:dyDescent="0.35">
      <c r="A161" s="205" t="str">
        <f>IF(AND(VALUE(RIGHT(O161,2))&lt;=controle_formulario!$E$16,H161&lt;=Criterios!$C$31+controle_formulario!$I$16-1),"SIM","NÃO")</f>
        <v>NÃO</v>
      </c>
      <c r="B161" s="205">
        <f t="shared" si="61"/>
        <v>0</v>
      </c>
      <c r="C161" s="205" t="str">
        <f t="shared" si="62"/>
        <v>Formrol</v>
      </c>
      <c r="D161" s="180"/>
      <c r="E161" s="205" t="str">
        <f t="shared" si="63"/>
        <v>Planilha 1</v>
      </c>
      <c r="F161" s="205" t="str">
        <f t="shared" si="64"/>
        <v>Geral</v>
      </c>
      <c r="G161" s="205" t="s">
        <v>27</v>
      </c>
      <c r="H161" s="212">
        <f t="shared" si="76"/>
        <v>2035</v>
      </c>
      <c r="I161" s="213">
        <f t="shared" si="76"/>
        <v>0</v>
      </c>
      <c r="J161" s="207" t="str">
        <f>IF(controle_formulario!$C$39=1,controle_formulario!$C$37,controle_formulario!$C$38)</f>
        <v>Epidemiologico Beneficiarios Saude Suplementar</v>
      </c>
      <c r="K161" s="208" t="s">
        <v>157</v>
      </c>
      <c r="L161" s="208" t="str">
        <f t="shared" si="74"/>
        <v>Pirtobrutinibe</v>
      </c>
      <c r="M161" s="201">
        <f t="shared" si="77"/>
        <v>470468.67999999976</v>
      </c>
      <c r="N161" s="201">
        <f t="shared" si="77"/>
        <v>0</v>
      </c>
      <c r="O161" s="214" t="s">
        <v>174</v>
      </c>
      <c r="P161" s="214" t="str">
        <f t="shared" si="75"/>
        <v>Taxa de difusão em X anos: XX%</v>
      </c>
      <c r="Q161" s="215">
        <f>'Market Share'!L33</f>
        <v>0</v>
      </c>
      <c r="R161" s="216">
        <f ca="1">Resumo!G65</f>
        <v>0</v>
      </c>
      <c r="S161" s="217">
        <f ca="1">Resumo!G81</f>
        <v>0</v>
      </c>
    </row>
    <row r="162" spans="1:19" x14ac:dyDescent="0.3">
      <c r="A162" s="189" t="str">
        <f>IF(AND(VALUE(RIGHT(O162,2))&lt;=controle_formulario!$E$16,VALUE(RIGHT(K162,2))&lt;=controle_formulario!$C$10,H162&lt;=Criterios!$C$31+controle_formulario!$I$16-1),"SIM","NÃO")</f>
        <v>NÃO</v>
      </c>
      <c r="B162" s="189">
        <f t="shared" si="61"/>
        <v>0</v>
      </c>
      <c r="C162" s="189" t="str">
        <f t="shared" si="62"/>
        <v>Formrol</v>
      </c>
      <c r="D162" s="177"/>
      <c r="E162" s="189" t="str">
        <f t="shared" si="63"/>
        <v>Planilha 1</v>
      </c>
      <c r="F162" s="189" t="str">
        <f t="shared" si="64"/>
        <v>Geral</v>
      </c>
      <c r="G162" s="189" t="s">
        <v>18</v>
      </c>
      <c r="H162" s="190">
        <f>H152</f>
        <v>2026</v>
      </c>
      <c r="I162" s="191">
        <f ca="1">I152</f>
        <v>35.902021176061034</v>
      </c>
      <c r="J162" s="191" t="str">
        <f>IF(controle_formulario!$C$39=1,controle_formulario!$C$37,controle_formulario!$C$38)</f>
        <v>Epidemiologico Beneficiarios Saude Suplementar</v>
      </c>
      <c r="K162" s="192" t="s">
        <v>168</v>
      </c>
      <c r="L162" s="192" t="str">
        <f t="shared" ref="L162:L171" si="78">trat.a</f>
        <v xml:space="preserve"> Conjunto de Tratamentos-Padrão</v>
      </c>
      <c r="M162" s="193" t="e">
        <f>Resumo!$D$39</f>
        <v>#REF!</v>
      </c>
      <c r="N162" s="193">
        <f>Resumo!$D$48</f>
        <v>0</v>
      </c>
      <c r="O162" s="192" t="s">
        <v>174</v>
      </c>
      <c r="P162" s="192" t="str">
        <f t="shared" si="75"/>
        <v>Taxa de difusão em X anos: XX%</v>
      </c>
      <c r="Q162" s="194">
        <f>'Market Share'!M24</f>
        <v>0</v>
      </c>
      <c r="R162" s="195">
        <f ca="1">R152</f>
        <v>0</v>
      </c>
      <c r="S162" s="196">
        <f ca="1">S152</f>
        <v>-4110544.4385289042</v>
      </c>
    </row>
    <row r="163" spans="1:19" x14ac:dyDescent="0.3">
      <c r="A163" s="198" t="str">
        <f>IF(AND(VALUE(RIGHT(O163,2))&lt;=controle_formulario!$E$16,VALUE(RIGHT(K163,2))&lt;=controle_formulario!$C$10,H163&lt;=Criterios!$C$31+controle_formulario!$I$16-1),"SIM","NÃO")</f>
        <v>NÃO</v>
      </c>
      <c r="B163" s="198">
        <f t="shared" si="61"/>
        <v>0</v>
      </c>
      <c r="C163" s="198" t="str">
        <f t="shared" si="62"/>
        <v>Formrol</v>
      </c>
      <c r="D163" s="179"/>
      <c r="E163" s="198" t="str">
        <f t="shared" si="63"/>
        <v>Planilha 1</v>
      </c>
      <c r="F163" s="198" t="str">
        <f t="shared" si="64"/>
        <v>Geral</v>
      </c>
      <c r="G163" s="198" t="s">
        <v>19</v>
      </c>
      <c r="H163" s="199">
        <f t="shared" ref="H163:I171" si="79">H153</f>
        <v>2027</v>
      </c>
      <c r="I163" s="200">
        <f t="shared" ca="1" si="79"/>
        <v>36.027114594978322</v>
      </c>
      <c r="J163" s="200" t="str">
        <f>IF(controle_formulario!$C$39=1,controle_formulario!$C$37,controle_formulario!$C$38)</f>
        <v>Epidemiologico Beneficiarios Saude Suplementar</v>
      </c>
      <c r="K163" s="197" t="s">
        <v>168</v>
      </c>
      <c r="L163" s="197" t="str">
        <f t="shared" si="78"/>
        <v xml:space="preserve"> Conjunto de Tratamentos-Padrão</v>
      </c>
      <c r="M163" s="201" t="e">
        <f>M162</f>
        <v>#REF!</v>
      </c>
      <c r="N163" s="201">
        <f>N162</f>
        <v>0</v>
      </c>
      <c r="O163" s="197" t="s">
        <v>174</v>
      </c>
      <c r="P163" s="197" t="str">
        <f t="shared" si="75"/>
        <v>Taxa de difusão em X anos: XX%</v>
      </c>
      <c r="Q163" s="202">
        <f>'Market Share'!M25</f>
        <v>0</v>
      </c>
      <c r="R163" s="203">
        <f t="shared" ref="R163:S178" ca="1" si="80">R153</f>
        <v>0</v>
      </c>
      <c r="S163" s="204">
        <f t="shared" ca="1" si="80"/>
        <v>-4124866.8092641174</v>
      </c>
    </row>
    <row r="164" spans="1:19" x14ac:dyDescent="0.3">
      <c r="A164" s="198" t="str">
        <f>IF(AND(VALUE(RIGHT(O164,2))&lt;=controle_formulario!$E$16,VALUE(RIGHT(K164,2))&lt;=controle_formulario!$C$10,H164&lt;=Criterios!$C$31+controle_formulario!$I$16-1),"SIM","NÃO")</f>
        <v>NÃO</v>
      </c>
      <c r="B164" s="198">
        <f t="shared" si="61"/>
        <v>0</v>
      </c>
      <c r="C164" s="198" t="str">
        <f t="shared" si="62"/>
        <v>Formrol</v>
      </c>
      <c r="D164" s="179"/>
      <c r="E164" s="198" t="str">
        <f t="shared" si="63"/>
        <v>Planilha 1</v>
      </c>
      <c r="F164" s="198" t="str">
        <f t="shared" si="64"/>
        <v>Geral</v>
      </c>
      <c r="G164" s="198" t="s">
        <v>20</v>
      </c>
      <c r="H164" s="199">
        <f t="shared" si="79"/>
        <v>2028</v>
      </c>
      <c r="I164" s="200">
        <f t="shared" ca="1" si="79"/>
        <v>36.142742272880319</v>
      </c>
      <c r="J164" s="200" t="str">
        <f>IF(controle_formulario!$C$39=1,controle_formulario!$C$37,controle_formulario!$C$38)</f>
        <v>Epidemiologico Beneficiarios Saude Suplementar</v>
      </c>
      <c r="K164" s="197" t="s">
        <v>168</v>
      </c>
      <c r="L164" s="197" t="str">
        <f t="shared" si="78"/>
        <v xml:space="preserve"> Conjunto de Tratamentos-Padrão</v>
      </c>
      <c r="M164" s="201" t="e">
        <f t="shared" ref="M164:N171" si="81">M163</f>
        <v>#REF!</v>
      </c>
      <c r="N164" s="201">
        <f t="shared" si="81"/>
        <v>0</v>
      </c>
      <c r="O164" s="197" t="s">
        <v>174</v>
      </c>
      <c r="P164" s="197" t="str">
        <f t="shared" si="75"/>
        <v>Taxa de difusão em X anos: XX%</v>
      </c>
      <c r="Q164" s="202">
        <f>'Market Share'!M26</f>
        <v>0</v>
      </c>
      <c r="R164" s="203">
        <f t="shared" ca="1" si="80"/>
        <v>0</v>
      </c>
      <c r="S164" s="204">
        <f t="shared" ca="1" si="80"/>
        <v>-4138105.4151356164</v>
      </c>
    </row>
    <row r="165" spans="1:19" x14ac:dyDescent="0.3">
      <c r="A165" s="198" t="str">
        <f>IF(AND(VALUE(RIGHT(O165,2))&lt;=controle_formulario!$E$16,VALUE(RIGHT(K165,2))&lt;=controle_formulario!$C$10,H165&lt;=Criterios!$C$31+controle_formulario!$I$16-1),"SIM","NÃO")</f>
        <v>NÃO</v>
      </c>
      <c r="B165" s="198">
        <f t="shared" si="61"/>
        <v>0</v>
      </c>
      <c r="C165" s="198" t="str">
        <f t="shared" si="62"/>
        <v>Formrol</v>
      </c>
      <c r="D165" s="179"/>
      <c r="E165" s="198" t="str">
        <f t="shared" si="63"/>
        <v>Planilha 1</v>
      </c>
      <c r="F165" s="198" t="str">
        <f t="shared" si="64"/>
        <v>Geral</v>
      </c>
      <c r="G165" s="198" t="s">
        <v>21</v>
      </c>
      <c r="H165" s="199">
        <f t="shared" si="79"/>
        <v>2029</v>
      </c>
      <c r="I165" s="200">
        <f t="shared" ca="1" si="79"/>
        <v>36.250027878529522</v>
      </c>
      <c r="J165" s="200" t="str">
        <f>IF(controle_formulario!$C$39=1,controle_formulario!$C$37,controle_formulario!$C$38)</f>
        <v>Epidemiologico Beneficiarios Saude Suplementar</v>
      </c>
      <c r="K165" s="197" t="s">
        <v>168</v>
      </c>
      <c r="L165" s="197" t="str">
        <f t="shared" si="78"/>
        <v xml:space="preserve"> Conjunto de Tratamentos-Padrão</v>
      </c>
      <c r="M165" s="201" t="e">
        <f t="shared" si="81"/>
        <v>#REF!</v>
      </c>
      <c r="N165" s="201">
        <f t="shared" si="81"/>
        <v>0</v>
      </c>
      <c r="O165" s="197" t="s">
        <v>174</v>
      </c>
      <c r="P165" s="197" t="str">
        <f t="shared" si="75"/>
        <v>Taxa de difusão em X anos: XX%</v>
      </c>
      <c r="Q165" s="202">
        <f>'Market Share'!M27</f>
        <v>0</v>
      </c>
      <c r="R165" s="203">
        <f t="shared" ca="1" si="80"/>
        <v>0</v>
      </c>
      <c r="S165" s="204">
        <f t="shared" ca="1" si="80"/>
        <v>-4150388.9087994657</v>
      </c>
    </row>
    <row r="166" spans="1:19" x14ac:dyDescent="0.3">
      <c r="A166" s="198" t="str">
        <f>IF(AND(VALUE(RIGHT(O166,2))&lt;=controle_formulario!$E$16,VALUE(RIGHT(K166,2))&lt;=controle_formulario!$C$10,H166&lt;=Criterios!$C$31+controle_formulario!$I$16-1),"SIM","NÃO")</f>
        <v>NÃO</v>
      </c>
      <c r="B166" s="198">
        <f t="shared" si="61"/>
        <v>0</v>
      </c>
      <c r="C166" s="198" t="str">
        <f t="shared" si="62"/>
        <v>Formrol</v>
      </c>
      <c r="D166" s="179"/>
      <c r="E166" s="198" t="str">
        <f t="shared" si="63"/>
        <v>Planilha 1</v>
      </c>
      <c r="F166" s="198" t="str">
        <f t="shared" si="64"/>
        <v>Geral</v>
      </c>
      <c r="G166" s="198" t="s">
        <v>22</v>
      </c>
      <c r="H166" s="199">
        <f t="shared" si="79"/>
        <v>2030</v>
      </c>
      <c r="I166" s="200">
        <f t="shared" ca="1" si="79"/>
        <v>36.350592396534239</v>
      </c>
      <c r="J166" s="200" t="str">
        <f>IF(controle_formulario!$C$39=1,controle_formulario!$C$37,controle_formulario!$C$38)</f>
        <v>Epidemiologico Beneficiarios Saude Suplementar</v>
      </c>
      <c r="K166" s="197" t="s">
        <v>168</v>
      </c>
      <c r="L166" s="197" t="str">
        <f t="shared" si="78"/>
        <v xml:space="preserve"> Conjunto de Tratamentos-Padrão</v>
      </c>
      <c r="M166" s="201" t="e">
        <f t="shared" si="81"/>
        <v>#REF!</v>
      </c>
      <c r="N166" s="201">
        <f t="shared" si="81"/>
        <v>0</v>
      </c>
      <c r="O166" s="197" t="s">
        <v>174</v>
      </c>
      <c r="P166" s="197" t="str">
        <f t="shared" si="75"/>
        <v>Taxa de difusão em X anos: XX%</v>
      </c>
      <c r="Q166" s="202">
        <f>'Market Share'!M28</f>
        <v>0</v>
      </c>
      <c r="R166" s="203">
        <f t="shared" ca="1" si="80"/>
        <v>0</v>
      </c>
      <c r="S166" s="204">
        <f t="shared" ca="1" si="80"/>
        <v>-4161902.8822933384</v>
      </c>
    </row>
    <row r="167" spans="1:19" x14ac:dyDescent="0.3">
      <c r="A167" s="198" t="str">
        <f>IF(AND(VALUE(RIGHT(O167,2))&lt;=controle_formulario!$E$16,VALUE(RIGHT(K167,2))&lt;=controle_formulario!$C$10,H167&lt;=Criterios!$C$31+controle_formulario!$I$16-1),"SIM","NÃO")</f>
        <v>NÃO</v>
      </c>
      <c r="B167" s="198">
        <f t="shared" si="61"/>
        <v>0</v>
      </c>
      <c r="C167" s="198" t="str">
        <f t="shared" si="62"/>
        <v>Formrol</v>
      </c>
      <c r="D167" s="179"/>
      <c r="E167" s="198" t="str">
        <f t="shared" si="63"/>
        <v>Planilha 1</v>
      </c>
      <c r="F167" s="198" t="str">
        <f t="shared" si="64"/>
        <v>Geral</v>
      </c>
      <c r="G167" s="198" t="s">
        <v>23</v>
      </c>
      <c r="H167" s="199">
        <f t="shared" si="79"/>
        <v>2031</v>
      </c>
      <c r="I167" s="200">
        <f t="shared" si="79"/>
        <v>0</v>
      </c>
      <c r="J167" s="200" t="str">
        <f>IF(controle_formulario!$C$39=1,controle_formulario!$C$37,controle_formulario!$C$38)</f>
        <v>Epidemiologico Beneficiarios Saude Suplementar</v>
      </c>
      <c r="K167" s="197" t="s">
        <v>168</v>
      </c>
      <c r="L167" s="197" t="str">
        <f t="shared" si="78"/>
        <v xml:space="preserve"> Conjunto de Tratamentos-Padrão</v>
      </c>
      <c r="M167" s="201" t="e">
        <f t="shared" si="81"/>
        <v>#REF!</v>
      </c>
      <c r="N167" s="201">
        <f t="shared" si="81"/>
        <v>0</v>
      </c>
      <c r="O167" s="197" t="s">
        <v>174</v>
      </c>
      <c r="P167" s="197" t="str">
        <f t="shared" si="75"/>
        <v>Taxa de difusão em X anos: XX%</v>
      </c>
      <c r="Q167" s="202">
        <f>'Market Share'!M29</f>
        <v>0</v>
      </c>
      <c r="R167" s="203">
        <f t="shared" ca="1" si="80"/>
        <v>0</v>
      </c>
      <c r="S167" s="204">
        <f t="shared" ca="1" si="80"/>
        <v>0</v>
      </c>
    </row>
    <row r="168" spans="1:19" x14ac:dyDescent="0.3">
      <c r="A168" s="198" t="str">
        <f>IF(AND(VALUE(RIGHT(O168,2))&lt;=controle_formulario!$E$16,VALUE(RIGHT(K168,2))&lt;=controle_formulario!$C$10,H168&lt;=Criterios!$C$31+controle_formulario!$I$16-1),"SIM","NÃO")</f>
        <v>NÃO</v>
      </c>
      <c r="B168" s="198">
        <f t="shared" si="61"/>
        <v>0</v>
      </c>
      <c r="C168" s="198" t="str">
        <f t="shared" si="62"/>
        <v>Formrol</v>
      </c>
      <c r="D168" s="179"/>
      <c r="E168" s="198" t="str">
        <f t="shared" si="63"/>
        <v>Planilha 1</v>
      </c>
      <c r="F168" s="198" t="str">
        <f t="shared" si="64"/>
        <v>Geral</v>
      </c>
      <c r="G168" s="198" t="s">
        <v>24</v>
      </c>
      <c r="H168" s="199">
        <f t="shared" si="79"/>
        <v>2032</v>
      </c>
      <c r="I168" s="200">
        <f t="shared" si="79"/>
        <v>0</v>
      </c>
      <c r="J168" s="200" t="str">
        <f>IF(controle_formulario!$C$39=1,controle_formulario!$C$37,controle_formulario!$C$38)</f>
        <v>Epidemiologico Beneficiarios Saude Suplementar</v>
      </c>
      <c r="K168" s="197" t="s">
        <v>168</v>
      </c>
      <c r="L168" s="197" t="str">
        <f t="shared" si="78"/>
        <v xml:space="preserve"> Conjunto de Tratamentos-Padrão</v>
      </c>
      <c r="M168" s="201" t="e">
        <f t="shared" si="81"/>
        <v>#REF!</v>
      </c>
      <c r="N168" s="201">
        <f t="shared" si="81"/>
        <v>0</v>
      </c>
      <c r="O168" s="197" t="s">
        <v>174</v>
      </c>
      <c r="P168" s="197" t="str">
        <f t="shared" si="75"/>
        <v>Taxa de difusão em X anos: XX%</v>
      </c>
      <c r="Q168" s="202">
        <f>'Market Share'!M30</f>
        <v>0</v>
      </c>
      <c r="R168" s="203">
        <f t="shared" ca="1" si="80"/>
        <v>0</v>
      </c>
      <c r="S168" s="204">
        <f t="shared" ca="1" si="80"/>
        <v>0</v>
      </c>
    </row>
    <row r="169" spans="1:19" x14ac:dyDescent="0.3">
      <c r="A169" s="198" t="str">
        <f>IF(AND(VALUE(RIGHT(O169,2))&lt;=controle_formulario!$E$16,VALUE(RIGHT(K169,2))&lt;=controle_formulario!$C$10,H169&lt;=Criterios!$C$31+controle_formulario!$I$16-1),"SIM","NÃO")</f>
        <v>NÃO</v>
      </c>
      <c r="B169" s="198">
        <f t="shared" si="61"/>
        <v>0</v>
      </c>
      <c r="C169" s="198" t="str">
        <f t="shared" si="62"/>
        <v>Formrol</v>
      </c>
      <c r="D169" s="179"/>
      <c r="E169" s="198" t="str">
        <f t="shared" si="63"/>
        <v>Planilha 1</v>
      </c>
      <c r="F169" s="198" t="str">
        <f t="shared" si="64"/>
        <v>Geral</v>
      </c>
      <c r="G169" s="198" t="s">
        <v>25</v>
      </c>
      <c r="H169" s="199">
        <f t="shared" si="79"/>
        <v>2033</v>
      </c>
      <c r="I169" s="200">
        <f t="shared" si="79"/>
        <v>0</v>
      </c>
      <c r="J169" s="200" t="str">
        <f>IF(controle_formulario!$C$39=1,controle_formulario!$C$37,controle_formulario!$C$38)</f>
        <v>Epidemiologico Beneficiarios Saude Suplementar</v>
      </c>
      <c r="K169" s="197" t="s">
        <v>168</v>
      </c>
      <c r="L169" s="197" t="str">
        <f t="shared" si="78"/>
        <v xml:space="preserve"> Conjunto de Tratamentos-Padrão</v>
      </c>
      <c r="M169" s="201" t="e">
        <f t="shared" si="81"/>
        <v>#REF!</v>
      </c>
      <c r="N169" s="201">
        <f t="shared" si="81"/>
        <v>0</v>
      </c>
      <c r="O169" s="197" t="s">
        <v>174</v>
      </c>
      <c r="P169" s="197" t="str">
        <f t="shared" si="75"/>
        <v>Taxa de difusão em X anos: XX%</v>
      </c>
      <c r="Q169" s="202">
        <f>'Market Share'!M31</f>
        <v>0</v>
      </c>
      <c r="R169" s="203">
        <f t="shared" ca="1" si="80"/>
        <v>0</v>
      </c>
      <c r="S169" s="204">
        <f t="shared" ca="1" si="80"/>
        <v>0</v>
      </c>
    </row>
    <row r="170" spans="1:19" x14ac:dyDescent="0.3">
      <c r="A170" s="198" t="str">
        <f>IF(AND(VALUE(RIGHT(O170,2))&lt;=controle_formulario!$E$16,VALUE(RIGHT(K170,2))&lt;=controle_formulario!$C$10,H170&lt;=Criterios!$C$31+controle_formulario!$I$16-1),"SIM","NÃO")</f>
        <v>NÃO</v>
      </c>
      <c r="B170" s="198">
        <f t="shared" si="61"/>
        <v>0</v>
      </c>
      <c r="C170" s="198" t="str">
        <f t="shared" si="62"/>
        <v>Formrol</v>
      </c>
      <c r="D170" s="179"/>
      <c r="E170" s="198" t="str">
        <f t="shared" si="63"/>
        <v>Planilha 1</v>
      </c>
      <c r="F170" s="198" t="str">
        <f t="shared" si="64"/>
        <v>Geral</v>
      </c>
      <c r="G170" s="198" t="s">
        <v>26</v>
      </c>
      <c r="H170" s="199">
        <f t="shared" si="79"/>
        <v>2034</v>
      </c>
      <c r="I170" s="200">
        <f t="shared" si="79"/>
        <v>0</v>
      </c>
      <c r="J170" s="200" t="str">
        <f>IF(controle_formulario!$C$39=1,controle_formulario!$C$37,controle_formulario!$C$38)</f>
        <v>Epidemiologico Beneficiarios Saude Suplementar</v>
      </c>
      <c r="K170" s="197" t="s">
        <v>168</v>
      </c>
      <c r="L170" s="197" t="str">
        <f t="shared" si="78"/>
        <v xml:space="preserve"> Conjunto de Tratamentos-Padrão</v>
      </c>
      <c r="M170" s="201" t="e">
        <f t="shared" si="81"/>
        <v>#REF!</v>
      </c>
      <c r="N170" s="201">
        <f t="shared" si="81"/>
        <v>0</v>
      </c>
      <c r="O170" s="197" t="s">
        <v>174</v>
      </c>
      <c r="P170" s="197" t="str">
        <f t="shared" si="75"/>
        <v>Taxa de difusão em X anos: XX%</v>
      </c>
      <c r="Q170" s="202">
        <f>'Market Share'!M32</f>
        <v>0</v>
      </c>
      <c r="R170" s="203">
        <f t="shared" ca="1" si="80"/>
        <v>0</v>
      </c>
      <c r="S170" s="204">
        <f t="shared" ca="1" si="80"/>
        <v>0</v>
      </c>
    </row>
    <row r="171" spans="1:19" ht="15" thickBot="1" x14ac:dyDescent="0.35">
      <c r="A171" s="205" t="str">
        <f>IF(AND(VALUE(RIGHT(O171,2))&lt;=controle_formulario!$E$16,VALUE(RIGHT(K171,2))&lt;=controle_formulario!$C$10,H171&lt;=Criterios!$C$31+controle_formulario!$I$16-1),"SIM","NÃO")</f>
        <v>NÃO</v>
      </c>
      <c r="B171" s="205">
        <f t="shared" si="61"/>
        <v>0</v>
      </c>
      <c r="C171" s="205" t="str">
        <f t="shared" si="62"/>
        <v>Formrol</v>
      </c>
      <c r="D171" s="180"/>
      <c r="E171" s="205" t="str">
        <f t="shared" si="63"/>
        <v>Planilha 1</v>
      </c>
      <c r="F171" s="205" t="str">
        <f t="shared" si="64"/>
        <v>Geral</v>
      </c>
      <c r="G171" s="205" t="s">
        <v>27</v>
      </c>
      <c r="H171" s="212">
        <f t="shared" si="79"/>
        <v>2035</v>
      </c>
      <c r="I171" s="213">
        <f t="shared" si="79"/>
        <v>0</v>
      </c>
      <c r="J171" s="207" t="str">
        <f>IF(controle_formulario!$C$39=1,controle_formulario!$C$37,controle_formulario!$C$38)</f>
        <v>Epidemiologico Beneficiarios Saude Suplementar</v>
      </c>
      <c r="K171" s="208" t="s">
        <v>168</v>
      </c>
      <c r="L171" s="208" t="str">
        <f t="shared" si="78"/>
        <v xml:space="preserve"> Conjunto de Tratamentos-Padrão</v>
      </c>
      <c r="M171" s="201" t="e">
        <f t="shared" si="81"/>
        <v>#REF!</v>
      </c>
      <c r="N171" s="201">
        <f t="shared" si="81"/>
        <v>0</v>
      </c>
      <c r="O171" s="214" t="s">
        <v>174</v>
      </c>
      <c r="P171" s="214" t="str">
        <f t="shared" si="75"/>
        <v>Taxa de difusão em X anos: XX%</v>
      </c>
      <c r="Q171" s="215">
        <f>'Market Share'!M33</f>
        <v>0</v>
      </c>
      <c r="R171" s="216">
        <f t="shared" ca="1" si="80"/>
        <v>0</v>
      </c>
      <c r="S171" s="217">
        <f t="shared" ca="1" si="80"/>
        <v>0</v>
      </c>
    </row>
    <row r="172" spans="1:19" x14ac:dyDescent="0.3">
      <c r="A172" s="189" t="str">
        <f>IF(AND(VALUE(RIGHT(O172,2))&lt;=controle_formulario!$E$16,VALUE(RIGHT(K172,2))&lt;=controle_formulario!$C$10,H172&lt;=Criterios!$C$31+controle_formulario!$I$16-1),"SIM","NÃO")</f>
        <v>NÃO</v>
      </c>
      <c r="B172" s="189">
        <f t="shared" si="61"/>
        <v>0</v>
      </c>
      <c r="C172" s="189" t="str">
        <f t="shared" si="62"/>
        <v>Formrol</v>
      </c>
      <c r="D172" s="177"/>
      <c r="E172" s="189" t="str">
        <f t="shared" si="63"/>
        <v>Planilha 1</v>
      </c>
      <c r="F172" s="189" t="str">
        <f t="shared" si="64"/>
        <v>Geral</v>
      </c>
      <c r="G172" s="189" t="s">
        <v>18</v>
      </c>
      <c r="H172" s="190">
        <f>H162</f>
        <v>2026</v>
      </c>
      <c r="I172" s="191">
        <f ca="1">I162</f>
        <v>35.902021176061034</v>
      </c>
      <c r="J172" s="191" t="str">
        <f>IF(controle_formulario!$C$39=1,controle_formulario!$C$37,controle_formulario!$C$38)</f>
        <v>Epidemiologico Beneficiarios Saude Suplementar</v>
      </c>
      <c r="K172" s="192" t="s">
        <v>169</v>
      </c>
      <c r="L172" s="192">
        <f t="shared" ref="L172:L181" si="82">trat.b</f>
        <v>0</v>
      </c>
      <c r="M172" s="193">
        <f>Resumo!$D$40</f>
        <v>0</v>
      </c>
      <c r="N172" s="193">
        <f>Resumo!$D$49</f>
        <v>0</v>
      </c>
      <c r="O172" s="192" t="s">
        <v>174</v>
      </c>
      <c r="P172" s="192" t="str">
        <f t="shared" si="75"/>
        <v>Taxa de difusão em X anos: XX%</v>
      </c>
      <c r="Q172" s="194">
        <f>'Market Share'!N24</f>
        <v>0</v>
      </c>
      <c r="R172" s="195">
        <f ca="1">R162</f>
        <v>0</v>
      </c>
      <c r="S172" s="196">
        <f ca="1">S162</f>
        <v>-4110544.4385289042</v>
      </c>
    </row>
    <row r="173" spans="1:19" x14ac:dyDescent="0.3">
      <c r="A173" s="198" t="str">
        <f>IF(AND(VALUE(RIGHT(O173,2))&lt;=controle_formulario!$E$16,VALUE(RIGHT(K173,2))&lt;=controle_formulario!$C$10,H173&lt;=Criterios!$C$31+controle_formulario!$I$16-1),"SIM","NÃO")</f>
        <v>NÃO</v>
      </c>
      <c r="B173" s="198">
        <f t="shared" si="61"/>
        <v>0</v>
      </c>
      <c r="C173" s="198" t="str">
        <f t="shared" si="62"/>
        <v>Formrol</v>
      </c>
      <c r="D173" s="179"/>
      <c r="E173" s="198" t="str">
        <f t="shared" si="63"/>
        <v>Planilha 1</v>
      </c>
      <c r="F173" s="198" t="str">
        <f t="shared" si="64"/>
        <v>Geral</v>
      </c>
      <c r="G173" s="198" t="s">
        <v>19</v>
      </c>
      <c r="H173" s="199">
        <f t="shared" ref="H173:I181" si="83">H163</f>
        <v>2027</v>
      </c>
      <c r="I173" s="200">
        <f t="shared" ca="1" si="83"/>
        <v>36.027114594978322</v>
      </c>
      <c r="J173" s="200" t="str">
        <f>IF(controle_formulario!$C$39=1,controle_formulario!$C$37,controle_formulario!$C$38)</f>
        <v>Epidemiologico Beneficiarios Saude Suplementar</v>
      </c>
      <c r="K173" s="197" t="s">
        <v>169</v>
      </c>
      <c r="L173" s="197">
        <f t="shared" si="82"/>
        <v>0</v>
      </c>
      <c r="M173" s="201">
        <f>M172</f>
        <v>0</v>
      </c>
      <c r="N173" s="201">
        <f>N172</f>
        <v>0</v>
      </c>
      <c r="O173" s="197" t="s">
        <v>174</v>
      </c>
      <c r="P173" s="197" t="str">
        <f t="shared" si="75"/>
        <v>Taxa de difusão em X anos: XX%</v>
      </c>
      <c r="Q173" s="202">
        <f>'Market Share'!N25</f>
        <v>0</v>
      </c>
      <c r="R173" s="203">
        <f t="shared" ca="1" si="80"/>
        <v>0</v>
      </c>
      <c r="S173" s="204">
        <f t="shared" ca="1" si="80"/>
        <v>-4124866.8092641174</v>
      </c>
    </row>
    <row r="174" spans="1:19" x14ac:dyDescent="0.3">
      <c r="A174" s="198" t="str">
        <f>IF(AND(VALUE(RIGHT(O174,2))&lt;=controle_formulario!$E$16,VALUE(RIGHT(K174,2))&lt;=controle_formulario!$C$10,H174&lt;=Criterios!$C$31+controle_formulario!$I$16-1),"SIM","NÃO")</f>
        <v>NÃO</v>
      </c>
      <c r="B174" s="198">
        <f t="shared" si="61"/>
        <v>0</v>
      </c>
      <c r="C174" s="198" t="str">
        <f t="shared" si="62"/>
        <v>Formrol</v>
      </c>
      <c r="D174" s="179"/>
      <c r="E174" s="198" t="str">
        <f t="shared" si="63"/>
        <v>Planilha 1</v>
      </c>
      <c r="F174" s="198" t="str">
        <f t="shared" si="64"/>
        <v>Geral</v>
      </c>
      <c r="G174" s="198" t="s">
        <v>20</v>
      </c>
      <c r="H174" s="199">
        <f t="shared" si="83"/>
        <v>2028</v>
      </c>
      <c r="I174" s="200">
        <f t="shared" ca="1" si="83"/>
        <v>36.142742272880319</v>
      </c>
      <c r="J174" s="200" t="str">
        <f>IF(controle_formulario!$C$39=1,controle_formulario!$C$37,controle_formulario!$C$38)</f>
        <v>Epidemiologico Beneficiarios Saude Suplementar</v>
      </c>
      <c r="K174" s="197" t="s">
        <v>169</v>
      </c>
      <c r="L174" s="197">
        <f t="shared" si="82"/>
        <v>0</v>
      </c>
      <c r="M174" s="201">
        <f t="shared" ref="M174:N181" si="84">M173</f>
        <v>0</v>
      </c>
      <c r="N174" s="201">
        <f t="shared" si="84"/>
        <v>0</v>
      </c>
      <c r="O174" s="197" t="s">
        <v>174</v>
      </c>
      <c r="P174" s="197" t="str">
        <f t="shared" si="75"/>
        <v>Taxa de difusão em X anos: XX%</v>
      </c>
      <c r="Q174" s="202">
        <f>'Market Share'!N26</f>
        <v>0</v>
      </c>
      <c r="R174" s="203">
        <f t="shared" ca="1" si="80"/>
        <v>0</v>
      </c>
      <c r="S174" s="204">
        <f t="shared" ca="1" si="80"/>
        <v>-4138105.4151356164</v>
      </c>
    </row>
    <row r="175" spans="1:19" x14ac:dyDescent="0.3">
      <c r="A175" s="198" t="str">
        <f>IF(AND(VALUE(RIGHT(O175,2))&lt;=controle_formulario!$E$16,VALUE(RIGHT(K175,2))&lt;=controle_formulario!$C$10,H175&lt;=Criterios!$C$31+controle_formulario!$I$16-1),"SIM","NÃO")</f>
        <v>NÃO</v>
      </c>
      <c r="B175" s="198">
        <f t="shared" si="61"/>
        <v>0</v>
      </c>
      <c r="C175" s="198" t="str">
        <f t="shared" si="62"/>
        <v>Formrol</v>
      </c>
      <c r="D175" s="179"/>
      <c r="E175" s="198" t="str">
        <f t="shared" si="63"/>
        <v>Planilha 1</v>
      </c>
      <c r="F175" s="198" t="str">
        <f t="shared" si="64"/>
        <v>Geral</v>
      </c>
      <c r="G175" s="198" t="s">
        <v>21</v>
      </c>
      <c r="H175" s="199">
        <f t="shared" si="83"/>
        <v>2029</v>
      </c>
      <c r="I175" s="200">
        <f t="shared" ca="1" si="83"/>
        <v>36.250027878529522</v>
      </c>
      <c r="J175" s="200" t="str">
        <f>IF(controle_formulario!$C$39=1,controle_formulario!$C$37,controle_formulario!$C$38)</f>
        <v>Epidemiologico Beneficiarios Saude Suplementar</v>
      </c>
      <c r="K175" s="197" t="s">
        <v>169</v>
      </c>
      <c r="L175" s="197">
        <f t="shared" si="82"/>
        <v>0</v>
      </c>
      <c r="M175" s="201">
        <f t="shared" si="84"/>
        <v>0</v>
      </c>
      <c r="N175" s="201">
        <f t="shared" si="84"/>
        <v>0</v>
      </c>
      <c r="O175" s="197" t="s">
        <v>174</v>
      </c>
      <c r="P175" s="197" t="str">
        <f t="shared" si="75"/>
        <v>Taxa de difusão em X anos: XX%</v>
      </c>
      <c r="Q175" s="202">
        <f>'Market Share'!N27</f>
        <v>0</v>
      </c>
      <c r="R175" s="203">
        <f t="shared" ca="1" si="80"/>
        <v>0</v>
      </c>
      <c r="S175" s="204">
        <f t="shared" ca="1" si="80"/>
        <v>-4150388.9087994657</v>
      </c>
    </row>
    <row r="176" spans="1:19" x14ac:dyDescent="0.3">
      <c r="A176" s="198" t="str">
        <f>IF(AND(VALUE(RIGHT(O176,2))&lt;=controle_formulario!$E$16,VALUE(RIGHT(K176,2))&lt;=controle_formulario!$C$10,H176&lt;=Criterios!$C$31+controle_formulario!$I$16-1),"SIM","NÃO")</f>
        <v>NÃO</v>
      </c>
      <c r="B176" s="198">
        <f t="shared" si="61"/>
        <v>0</v>
      </c>
      <c r="C176" s="198" t="str">
        <f t="shared" si="62"/>
        <v>Formrol</v>
      </c>
      <c r="D176" s="179"/>
      <c r="E176" s="198" t="str">
        <f t="shared" si="63"/>
        <v>Planilha 1</v>
      </c>
      <c r="F176" s="198" t="str">
        <f t="shared" si="64"/>
        <v>Geral</v>
      </c>
      <c r="G176" s="198" t="s">
        <v>22</v>
      </c>
      <c r="H176" s="199">
        <f t="shared" si="83"/>
        <v>2030</v>
      </c>
      <c r="I176" s="200">
        <f t="shared" ca="1" si="83"/>
        <v>36.350592396534239</v>
      </c>
      <c r="J176" s="200" t="str">
        <f>IF(controle_formulario!$C$39=1,controle_formulario!$C$37,controle_formulario!$C$38)</f>
        <v>Epidemiologico Beneficiarios Saude Suplementar</v>
      </c>
      <c r="K176" s="197" t="s">
        <v>169</v>
      </c>
      <c r="L176" s="197">
        <f t="shared" si="82"/>
        <v>0</v>
      </c>
      <c r="M176" s="201">
        <f t="shared" si="84"/>
        <v>0</v>
      </c>
      <c r="N176" s="201">
        <f t="shared" si="84"/>
        <v>0</v>
      </c>
      <c r="O176" s="197" t="s">
        <v>174</v>
      </c>
      <c r="P176" s="197" t="str">
        <f t="shared" si="75"/>
        <v>Taxa de difusão em X anos: XX%</v>
      </c>
      <c r="Q176" s="202">
        <f>'Market Share'!N28</f>
        <v>0</v>
      </c>
      <c r="R176" s="203">
        <f t="shared" ca="1" si="80"/>
        <v>0</v>
      </c>
      <c r="S176" s="204">
        <f t="shared" ca="1" si="80"/>
        <v>-4161902.8822933384</v>
      </c>
    </row>
    <row r="177" spans="1:19" x14ac:dyDescent="0.3">
      <c r="A177" s="198" t="str">
        <f>IF(AND(VALUE(RIGHT(O177,2))&lt;=controle_formulario!$E$16,VALUE(RIGHT(K177,2))&lt;=controle_formulario!$C$10,H177&lt;=Criterios!$C$31+controle_formulario!$I$16-1),"SIM","NÃO")</f>
        <v>NÃO</v>
      </c>
      <c r="B177" s="198">
        <f t="shared" si="61"/>
        <v>0</v>
      </c>
      <c r="C177" s="198" t="str">
        <f t="shared" si="62"/>
        <v>Formrol</v>
      </c>
      <c r="D177" s="179"/>
      <c r="E177" s="198" t="str">
        <f t="shared" si="63"/>
        <v>Planilha 1</v>
      </c>
      <c r="F177" s="198" t="str">
        <f t="shared" si="64"/>
        <v>Geral</v>
      </c>
      <c r="G177" s="198" t="s">
        <v>23</v>
      </c>
      <c r="H177" s="199">
        <f t="shared" si="83"/>
        <v>2031</v>
      </c>
      <c r="I177" s="200">
        <f t="shared" si="83"/>
        <v>0</v>
      </c>
      <c r="J177" s="200" t="str">
        <f>IF(controle_formulario!$C$39=1,controle_formulario!$C$37,controle_formulario!$C$38)</f>
        <v>Epidemiologico Beneficiarios Saude Suplementar</v>
      </c>
      <c r="K177" s="197" t="s">
        <v>169</v>
      </c>
      <c r="L177" s="197">
        <f t="shared" si="82"/>
        <v>0</v>
      </c>
      <c r="M177" s="201">
        <f t="shared" si="84"/>
        <v>0</v>
      </c>
      <c r="N177" s="201">
        <f t="shared" si="84"/>
        <v>0</v>
      </c>
      <c r="O177" s="197" t="s">
        <v>174</v>
      </c>
      <c r="P177" s="197" t="str">
        <f t="shared" si="75"/>
        <v>Taxa de difusão em X anos: XX%</v>
      </c>
      <c r="Q177" s="202">
        <f>'Market Share'!N29</f>
        <v>0</v>
      </c>
      <c r="R177" s="203">
        <f t="shared" ca="1" si="80"/>
        <v>0</v>
      </c>
      <c r="S177" s="204">
        <f t="shared" ca="1" si="80"/>
        <v>0</v>
      </c>
    </row>
    <row r="178" spans="1:19" x14ac:dyDescent="0.3">
      <c r="A178" s="198" t="str">
        <f>IF(AND(VALUE(RIGHT(O178,2))&lt;=controle_formulario!$E$16,VALUE(RIGHT(K178,2))&lt;=controle_formulario!$C$10,H178&lt;=Criterios!$C$31+controle_formulario!$I$16-1),"SIM","NÃO")</f>
        <v>NÃO</v>
      </c>
      <c r="B178" s="198">
        <f t="shared" si="61"/>
        <v>0</v>
      </c>
      <c r="C178" s="198" t="str">
        <f t="shared" si="62"/>
        <v>Formrol</v>
      </c>
      <c r="D178" s="179"/>
      <c r="E178" s="198" t="str">
        <f t="shared" si="63"/>
        <v>Planilha 1</v>
      </c>
      <c r="F178" s="198" t="str">
        <f t="shared" si="64"/>
        <v>Geral</v>
      </c>
      <c r="G178" s="198" t="s">
        <v>24</v>
      </c>
      <c r="H178" s="199">
        <f t="shared" si="83"/>
        <v>2032</v>
      </c>
      <c r="I178" s="200">
        <f t="shared" si="83"/>
        <v>0</v>
      </c>
      <c r="J178" s="200" t="str">
        <f>IF(controle_formulario!$C$39=1,controle_formulario!$C$37,controle_formulario!$C$38)</f>
        <v>Epidemiologico Beneficiarios Saude Suplementar</v>
      </c>
      <c r="K178" s="197" t="s">
        <v>169</v>
      </c>
      <c r="L178" s="197">
        <f t="shared" si="82"/>
        <v>0</v>
      </c>
      <c r="M178" s="201">
        <f t="shared" si="84"/>
        <v>0</v>
      </c>
      <c r="N178" s="201">
        <f t="shared" si="84"/>
        <v>0</v>
      </c>
      <c r="O178" s="197" t="s">
        <v>174</v>
      </c>
      <c r="P178" s="197" t="str">
        <f t="shared" si="75"/>
        <v>Taxa de difusão em X anos: XX%</v>
      </c>
      <c r="Q178" s="202">
        <f>'Market Share'!N30</f>
        <v>0</v>
      </c>
      <c r="R178" s="203">
        <f t="shared" ca="1" si="80"/>
        <v>0</v>
      </c>
      <c r="S178" s="204">
        <f t="shared" ca="1" si="80"/>
        <v>0</v>
      </c>
    </row>
    <row r="179" spans="1:19" x14ac:dyDescent="0.3">
      <c r="A179" s="198" t="str">
        <f>IF(AND(VALUE(RIGHT(O179,2))&lt;=controle_formulario!$E$16,VALUE(RIGHT(K179,2))&lt;=controle_formulario!$C$10,H179&lt;=Criterios!$C$31+controle_formulario!$I$16-1),"SIM","NÃO")</f>
        <v>NÃO</v>
      </c>
      <c r="B179" s="198">
        <f t="shared" si="61"/>
        <v>0</v>
      </c>
      <c r="C179" s="198" t="str">
        <f t="shared" si="62"/>
        <v>Formrol</v>
      </c>
      <c r="D179" s="179"/>
      <c r="E179" s="198" t="str">
        <f t="shared" si="63"/>
        <v>Planilha 1</v>
      </c>
      <c r="F179" s="198" t="str">
        <f t="shared" si="64"/>
        <v>Geral</v>
      </c>
      <c r="G179" s="198" t="s">
        <v>25</v>
      </c>
      <c r="H179" s="199">
        <f t="shared" si="83"/>
        <v>2033</v>
      </c>
      <c r="I179" s="200">
        <f t="shared" si="83"/>
        <v>0</v>
      </c>
      <c r="J179" s="200" t="str">
        <f>IF(controle_formulario!$C$39=1,controle_formulario!$C$37,controle_formulario!$C$38)</f>
        <v>Epidemiologico Beneficiarios Saude Suplementar</v>
      </c>
      <c r="K179" s="197" t="s">
        <v>169</v>
      </c>
      <c r="L179" s="197">
        <f t="shared" si="82"/>
        <v>0</v>
      </c>
      <c r="M179" s="201">
        <f t="shared" si="84"/>
        <v>0</v>
      </c>
      <c r="N179" s="201">
        <f t="shared" si="84"/>
        <v>0</v>
      </c>
      <c r="O179" s="197" t="s">
        <v>174</v>
      </c>
      <c r="P179" s="197" t="str">
        <f t="shared" si="75"/>
        <v>Taxa de difusão em X anos: XX%</v>
      </c>
      <c r="Q179" s="202">
        <f>'Market Share'!N31</f>
        <v>0</v>
      </c>
      <c r="R179" s="203">
        <f t="shared" ref="R179:S194" ca="1" si="85">R169</f>
        <v>0</v>
      </c>
      <c r="S179" s="204">
        <f t="shared" ca="1" si="85"/>
        <v>0</v>
      </c>
    </row>
    <row r="180" spans="1:19" x14ac:dyDescent="0.3">
      <c r="A180" s="198" t="str">
        <f>IF(AND(VALUE(RIGHT(O180,2))&lt;=controle_formulario!$E$16,VALUE(RIGHT(K180,2))&lt;=controle_formulario!$C$10,H180&lt;=Criterios!$C$31+controle_formulario!$I$16-1),"SIM","NÃO")</f>
        <v>NÃO</v>
      </c>
      <c r="B180" s="198">
        <f t="shared" si="61"/>
        <v>0</v>
      </c>
      <c r="C180" s="198" t="str">
        <f t="shared" si="62"/>
        <v>Formrol</v>
      </c>
      <c r="D180" s="179"/>
      <c r="E180" s="198" t="str">
        <f t="shared" si="63"/>
        <v>Planilha 1</v>
      </c>
      <c r="F180" s="198" t="str">
        <f t="shared" si="64"/>
        <v>Geral</v>
      </c>
      <c r="G180" s="198" t="s">
        <v>26</v>
      </c>
      <c r="H180" s="199">
        <f t="shared" si="83"/>
        <v>2034</v>
      </c>
      <c r="I180" s="200">
        <f t="shared" si="83"/>
        <v>0</v>
      </c>
      <c r="J180" s="200" t="str">
        <f>IF(controle_formulario!$C$39=1,controle_formulario!$C$37,controle_formulario!$C$38)</f>
        <v>Epidemiologico Beneficiarios Saude Suplementar</v>
      </c>
      <c r="K180" s="197" t="s">
        <v>169</v>
      </c>
      <c r="L180" s="197">
        <f t="shared" si="82"/>
        <v>0</v>
      </c>
      <c r="M180" s="201">
        <f t="shared" si="84"/>
        <v>0</v>
      </c>
      <c r="N180" s="201">
        <f t="shared" si="84"/>
        <v>0</v>
      </c>
      <c r="O180" s="197" t="s">
        <v>174</v>
      </c>
      <c r="P180" s="197" t="str">
        <f t="shared" si="75"/>
        <v>Taxa de difusão em X anos: XX%</v>
      </c>
      <c r="Q180" s="202">
        <f>'Market Share'!N32</f>
        <v>0</v>
      </c>
      <c r="R180" s="203">
        <f t="shared" ca="1" si="85"/>
        <v>0</v>
      </c>
      <c r="S180" s="204">
        <f t="shared" ca="1" si="85"/>
        <v>0</v>
      </c>
    </row>
    <row r="181" spans="1:19" ht="15" thickBot="1" x14ac:dyDescent="0.35">
      <c r="A181" s="205" t="str">
        <f>IF(AND(VALUE(RIGHT(O181,2))&lt;=controle_formulario!$E$16,VALUE(RIGHT(K181,2))&lt;=controle_formulario!$C$10,H181&lt;=Criterios!$C$31+controle_formulario!$I$16-1),"SIM","NÃO")</f>
        <v>NÃO</v>
      </c>
      <c r="B181" s="205">
        <f t="shared" si="61"/>
        <v>0</v>
      </c>
      <c r="C181" s="205" t="str">
        <f t="shared" si="62"/>
        <v>Formrol</v>
      </c>
      <c r="D181" s="180"/>
      <c r="E181" s="205" t="str">
        <f t="shared" si="63"/>
        <v>Planilha 1</v>
      </c>
      <c r="F181" s="205" t="str">
        <f t="shared" si="64"/>
        <v>Geral</v>
      </c>
      <c r="G181" s="205" t="s">
        <v>27</v>
      </c>
      <c r="H181" s="212">
        <f t="shared" si="83"/>
        <v>2035</v>
      </c>
      <c r="I181" s="213">
        <f t="shared" si="83"/>
        <v>0</v>
      </c>
      <c r="J181" s="207" t="str">
        <f>IF(controle_formulario!$C$39=1,controle_formulario!$C$37,controle_formulario!$C$38)</f>
        <v>Epidemiologico Beneficiarios Saude Suplementar</v>
      </c>
      <c r="K181" s="208" t="s">
        <v>169</v>
      </c>
      <c r="L181" s="208">
        <f t="shared" si="82"/>
        <v>0</v>
      </c>
      <c r="M181" s="201">
        <f t="shared" si="84"/>
        <v>0</v>
      </c>
      <c r="N181" s="201">
        <f t="shared" si="84"/>
        <v>0</v>
      </c>
      <c r="O181" s="214" t="s">
        <v>174</v>
      </c>
      <c r="P181" s="214" t="str">
        <f t="shared" si="75"/>
        <v>Taxa de difusão em X anos: XX%</v>
      </c>
      <c r="Q181" s="215">
        <f>'Market Share'!N33</f>
        <v>0</v>
      </c>
      <c r="R181" s="216">
        <f t="shared" ca="1" si="85"/>
        <v>0</v>
      </c>
      <c r="S181" s="217">
        <f t="shared" ca="1" si="85"/>
        <v>0</v>
      </c>
    </row>
    <row r="182" spans="1:19" x14ac:dyDescent="0.3">
      <c r="A182" s="189" t="str">
        <f>IF(AND(VALUE(RIGHT(O182,2))&lt;=controle_formulario!$E$16,VALUE(RIGHT(K182,2))&lt;=controle_formulario!$C$10,H182&lt;=Criterios!$C$31+controle_formulario!$I$16-1),"SIM","NÃO")</f>
        <v>NÃO</v>
      </c>
      <c r="B182" s="189">
        <f t="shared" si="61"/>
        <v>0</v>
      </c>
      <c r="C182" s="189" t="str">
        <f t="shared" si="62"/>
        <v>Formrol</v>
      </c>
      <c r="D182" s="177"/>
      <c r="E182" s="189" t="str">
        <f t="shared" si="63"/>
        <v>Planilha 1</v>
      </c>
      <c r="F182" s="189" t="str">
        <f t="shared" si="64"/>
        <v>Geral</v>
      </c>
      <c r="G182" s="189" t="s">
        <v>18</v>
      </c>
      <c r="H182" s="190">
        <f>H172</f>
        <v>2026</v>
      </c>
      <c r="I182" s="191">
        <f ca="1">I172</f>
        <v>35.902021176061034</v>
      </c>
      <c r="J182" s="191" t="str">
        <f>IF(controle_formulario!$C$39=1,controle_formulario!$C$37,controle_formulario!$C$38)</f>
        <v>Epidemiologico Beneficiarios Saude Suplementar</v>
      </c>
      <c r="K182" s="192" t="s">
        <v>170</v>
      </c>
      <c r="L182" s="192">
        <f t="shared" ref="L182:L191" si="86">trat.c</f>
        <v>0</v>
      </c>
      <c r="M182" s="193">
        <f>Resumo!$D$41</f>
        <v>0</v>
      </c>
      <c r="N182" s="193">
        <f>Resumo!$D$50</f>
        <v>0</v>
      </c>
      <c r="O182" s="192" t="s">
        <v>174</v>
      </c>
      <c r="P182" s="192" t="str">
        <f t="shared" si="75"/>
        <v>Taxa de difusão em X anos: XX%</v>
      </c>
      <c r="Q182" s="194">
        <f>'Market Share'!O24</f>
        <v>0</v>
      </c>
      <c r="R182" s="195">
        <f ca="1">R172</f>
        <v>0</v>
      </c>
      <c r="S182" s="196">
        <f ca="1">S172</f>
        <v>-4110544.4385289042</v>
      </c>
    </row>
    <row r="183" spans="1:19" x14ac:dyDescent="0.3">
      <c r="A183" s="198" t="str">
        <f>IF(AND(VALUE(RIGHT(O183,2))&lt;=controle_formulario!$E$16,VALUE(RIGHT(K183,2))&lt;=controle_formulario!$C$10,H183&lt;=Criterios!$C$31+controle_formulario!$I$16-1),"SIM","NÃO")</f>
        <v>NÃO</v>
      </c>
      <c r="B183" s="198">
        <f t="shared" si="61"/>
        <v>0</v>
      </c>
      <c r="C183" s="198" t="str">
        <f t="shared" si="62"/>
        <v>Formrol</v>
      </c>
      <c r="D183" s="179"/>
      <c r="E183" s="198" t="str">
        <f t="shared" si="63"/>
        <v>Planilha 1</v>
      </c>
      <c r="F183" s="198" t="str">
        <f t="shared" si="64"/>
        <v>Geral</v>
      </c>
      <c r="G183" s="198" t="s">
        <v>19</v>
      </c>
      <c r="H183" s="199">
        <f t="shared" ref="H183:I191" si="87">H173</f>
        <v>2027</v>
      </c>
      <c r="I183" s="200">
        <f t="shared" ca="1" si="87"/>
        <v>36.027114594978322</v>
      </c>
      <c r="J183" s="200" t="str">
        <f>IF(controle_formulario!$C$39=1,controle_formulario!$C$37,controle_formulario!$C$38)</f>
        <v>Epidemiologico Beneficiarios Saude Suplementar</v>
      </c>
      <c r="K183" s="197" t="s">
        <v>170</v>
      </c>
      <c r="L183" s="197">
        <f t="shared" si="86"/>
        <v>0</v>
      </c>
      <c r="M183" s="201">
        <f>M182</f>
        <v>0</v>
      </c>
      <c r="N183" s="201">
        <f>N182</f>
        <v>0</v>
      </c>
      <c r="O183" s="197" t="s">
        <v>174</v>
      </c>
      <c r="P183" s="197" t="str">
        <f t="shared" si="75"/>
        <v>Taxa de difusão em X anos: XX%</v>
      </c>
      <c r="Q183" s="202">
        <f>'Market Share'!O25</f>
        <v>0</v>
      </c>
      <c r="R183" s="203">
        <f t="shared" ca="1" si="85"/>
        <v>0</v>
      </c>
      <c r="S183" s="204">
        <f t="shared" ca="1" si="85"/>
        <v>-4124866.8092641174</v>
      </c>
    </row>
    <row r="184" spans="1:19" x14ac:dyDescent="0.3">
      <c r="A184" s="198" t="str">
        <f>IF(AND(VALUE(RIGHT(O184,2))&lt;=controle_formulario!$E$16,VALUE(RIGHT(K184,2))&lt;=controle_formulario!$C$10,H184&lt;=Criterios!$C$31+controle_formulario!$I$16-1),"SIM","NÃO")</f>
        <v>NÃO</v>
      </c>
      <c r="B184" s="198">
        <f t="shared" si="61"/>
        <v>0</v>
      </c>
      <c r="C184" s="198" t="str">
        <f t="shared" si="62"/>
        <v>Formrol</v>
      </c>
      <c r="D184" s="179"/>
      <c r="E184" s="198" t="str">
        <f t="shared" si="63"/>
        <v>Planilha 1</v>
      </c>
      <c r="F184" s="198" t="str">
        <f t="shared" si="64"/>
        <v>Geral</v>
      </c>
      <c r="G184" s="198" t="s">
        <v>20</v>
      </c>
      <c r="H184" s="199">
        <f t="shared" si="87"/>
        <v>2028</v>
      </c>
      <c r="I184" s="200">
        <f t="shared" ca="1" si="87"/>
        <v>36.142742272880319</v>
      </c>
      <c r="J184" s="200" t="str">
        <f>IF(controle_formulario!$C$39=1,controle_formulario!$C$37,controle_formulario!$C$38)</f>
        <v>Epidemiologico Beneficiarios Saude Suplementar</v>
      </c>
      <c r="K184" s="197" t="s">
        <v>170</v>
      </c>
      <c r="L184" s="197">
        <f t="shared" si="86"/>
        <v>0</v>
      </c>
      <c r="M184" s="201">
        <f t="shared" ref="M184:N191" si="88">M183</f>
        <v>0</v>
      </c>
      <c r="N184" s="201">
        <f t="shared" si="88"/>
        <v>0</v>
      </c>
      <c r="O184" s="197" t="s">
        <v>174</v>
      </c>
      <c r="P184" s="197" t="str">
        <f t="shared" ref="P184:P201" si="89">cen.alt3</f>
        <v>Taxa de difusão em X anos: XX%</v>
      </c>
      <c r="Q184" s="202">
        <f>'Market Share'!O26</f>
        <v>0</v>
      </c>
      <c r="R184" s="203">
        <f t="shared" ca="1" si="85"/>
        <v>0</v>
      </c>
      <c r="S184" s="204">
        <f t="shared" ca="1" si="85"/>
        <v>-4138105.4151356164</v>
      </c>
    </row>
    <row r="185" spans="1:19" x14ac:dyDescent="0.3">
      <c r="A185" s="198" t="str">
        <f>IF(AND(VALUE(RIGHT(O185,2))&lt;=controle_formulario!$E$16,VALUE(RIGHT(K185,2))&lt;=controle_formulario!$C$10,H185&lt;=Criterios!$C$31+controle_formulario!$I$16-1),"SIM","NÃO")</f>
        <v>NÃO</v>
      </c>
      <c r="B185" s="198">
        <f t="shared" si="61"/>
        <v>0</v>
      </c>
      <c r="C185" s="198" t="str">
        <f t="shared" si="62"/>
        <v>Formrol</v>
      </c>
      <c r="D185" s="179"/>
      <c r="E185" s="198" t="str">
        <f t="shared" si="63"/>
        <v>Planilha 1</v>
      </c>
      <c r="F185" s="198" t="str">
        <f t="shared" si="64"/>
        <v>Geral</v>
      </c>
      <c r="G185" s="198" t="s">
        <v>21</v>
      </c>
      <c r="H185" s="199">
        <f t="shared" si="87"/>
        <v>2029</v>
      </c>
      <c r="I185" s="200">
        <f t="shared" ca="1" si="87"/>
        <v>36.250027878529522</v>
      </c>
      <c r="J185" s="200" t="str">
        <f>IF(controle_formulario!$C$39=1,controle_formulario!$C$37,controle_formulario!$C$38)</f>
        <v>Epidemiologico Beneficiarios Saude Suplementar</v>
      </c>
      <c r="K185" s="197" t="s">
        <v>170</v>
      </c>
      <c r="L185" s="197">
        <f t="shared" si="86"/>
        <v>0</v>
      </c>
      <c r="M185" s="201">
        <f t="shared" si="88"/>
        <v>0</v>
      </c>
      <c r="N185" s="201">
        <f t="shared" si="88"/>
        <v>0</v>
      </c>
      <c r="O185" s="197" t="s">
        <v>174</v>
      </c>
      <c r="P185" s="197" t="str">
        <f t="shared" si="89"/>
        <v>Taxa de difusão em X anos: XX%</v>
      </c>
      <c r="Q185" s="202">
        <f>'Market Share'!O27</f>
        <v>0</v>
      </c>
      <c r="R185" s="203">
        <f t="shared" ca="1" si="85"/>
        <v>0</v>
      </c>
      <c r="S185" s="204">
        <f t="shared" ca="1" si="85"/>
        <v>-4150388.9087994657</v>
      </c>
    </row>
    <row r="186" spans="1:19" x14ac:dyDescent="0.3">
      <c r="A186" s="198" t="str">
        <f>IF(AND(VALUE(RIGHT(O186,2))&lt;=controle_formulario!$E$16,VALUE(RIGHT(K186,2))&lt;=controle_formulario!$C$10,H186&lt;=Criterios!$C$31+controle_formulario!$I$16-1),"SIM","NÃO")</f>
        <v>NÃO</v>
      </c>
      <c r="B186" s="198">
        <f t="shared" si="61"/>
        <v>0</v>
      </c>
      <c r="C186" s="198" t="str">
        <f t="shared" si="62"/>
        <v>Formrol</v>
      </c>
      <c r="D186" s="179"/>
      <c r="E186" s="198" t="str">
        <f t="shared" si="63"/>
        <v>Planilha 1</v>
      </c>
      <c r="F186" s="198" t="str">
        <f t="shared" si="64"/>
        <v>Geral</v>
      </c>
      <c r="G186" s="198" t="s">
        <v>22</v>
      </c>
      <c r="H186" s="199">
        <f t="shared" si="87"/>
        <v>2030</v>
      </c>
      <c r="I186" s="200">
        <f t="shared" ca="1" si="87"/>
        <v>36.350592396534239</v>
      </c>
      <c r="J186" s="200" t="str">
        <f>IF(controle_formulario!$C$39=1,controle_formulario!$C$37,controle_formulario!$C$38)</f>
        <v>Epidemiologico Beneficiarios Saude Suplementar</v>
      </c>
      <c r="K186" s="197" t="s">
        <v>170</v>
      </c>
      <c r="L186" s="197">
        <f t="shared" si="86"/>
        <v>0</v>
      </c>
      <c r="M186" s="201">
        <f t="shared" si="88"/>
        <v>0</v>
      </c>
      <c r="N186" s="201">
        <f t="shared" si="88"/>
        <v>0</v>
      </c>
      <c r="O186" s="197" t="s">
        <v>174</v>
      </c>
      <c r="P186" s="197" t="str">
        <f t="shared" si="89"/>
        <v>Taxa de difusão em X anos: XX%</v>
      </c>
      <c r="Q186" s="202">
        <f>'Market Share'!O28</f>
        <v>0</v>
      </c>
      <c r="R186" s="203">
        <f t="shared" ca="1" si="85"/>
        <v>0</v>
      </c>
      <c r="S186" s="204">
        <f t="shared" ca="1" si="85"/>
        <v>-4161902.8822933384</v>
      </c>
    </row>
    <row r="187" spans="1:19" x14ac:dyDescent="0.3">
      <c r="A187" s="198" t="str">
        <f>IF(AND(VALUE(RIGHT(O187,2))&lt;=controle_formulario!$E$16,VALUE(RIGHT(K187,2))&lt;=controle_formulario!$C$10,H187&lt;=Criterios!$C$31+controle_formulario!$I$16-1),"SIM","NÃO")</f>
        <v>NÃO</v>
      </c>
      <c r="B187" s="198">
        <f t="shared" si="61"/>
        <v>0</v>
      </c>
      <c r="C187" s="198" t="str">
        <f t="shared" si="62"/>
        <v>Formrol</v>
      </c>
      <c r="D187" s="179"/>
      <c r="E187" s="198" t="str">
        <f t="shared" si="63"/>
        <v>Planilha 1</v>
      </c>
      <c r="F187" s="198" t="str">
        <f t="shared" si="64"/>
        <v>Geral</v>
      </c>
      <c r="G187" s="198" t="s">
        <v>23</v>
      </c>
      <c r="H187" s="199">
        <f t="shared" si="87"/>
        <v>2031</v>
      </c>
      <c r="I187" s="200">
        <f t="shared" si="87"/>
        <v>0</v>
      </c>
      <c r="J187" s="200" t="str">
        <f>IF(controle_formulario!$C$39=1,controle_formulario!$C$37,controle_formulario!$C$38)</f>
        <v>Epidemiologico Beneficiarios Saude Suplementar</v>
      </c>
      <c r="K187" s="197" t="s">
        <v>170</v>
      </c>
      <c r="L187" s="197">
        <f t="shared" si="86"/>
        <v>0</v>
      </c>
      <c r="M187" s="201">
        <f t="shared" si="88"/>
        <v>0</v>
      </c>
      <c r="N187" s="201">
        <f t="shared" si="88"/>
        <v>0</v>
      </c>
      <c r="O187" s="197" t="s">
        <v>174</v>
      </c>
      <c r="P187" s="197" t="str">
        <f t="shared" si="89"/>
        <v>Taxa de difusão em X anos: XX%</v>
      </c>
      <c r="Q187" s="202">
        <f>'Market Share'!O29</f>
        <v>0</v>
      </c>
      <c r="R187" s="203">
        <f t="shared" ca="1" si="85"/>
        <v>0</v>
      </c>
      <c r="S187" s="204">
        <f t="shared" ca="1" si="85"/>
        <v>0</v>
      </c>
    </row>
    <row r="188" spans="1:19" x14ac:dyDescent="0.3">
      <c r="A188" s="198" t="str">
        <f>IF(AND(VALUE(RIGHT(O188,2))&lt;=controle_formulario!$E$16,VALUE(RIGHT(K188,2))&lt;=controle_formulario!$C$10,H188&lt;=Criterios!$C$31+controle_formulario!$I$16-1),"SIM","NÃO")</f>
        <v>NÃO</v>
      </c>
      <c r="B188" s="198">
        <f t="shared" si="61"/>
        <v>0</v>
      </c>
      <c r="C188" s="198" t="str">
        <f t="shared" si="62"/>
        <v>Formrol</v>
      </c>
      <c r="D188" s="179"/>
      <c r="E188" s="198" t="str">
        <f t="shared" si="63"/>
        <v>Planilha 1</v>
      </c>
      <c r="F188" s="198" t="str">
        <f t="shared" si="64"/>
        <v>Geral</v>
      </c>
      <c r="G188" s="198" t="s">
        <v>24</v>
      </c>
      <c r="H188" s="199">
        <f t="shared" si="87"/>
        <v>2032</v>
      </c>
      <c r="I188" s="200">
        <f t="shared" si="87"/>
        <v>0</v>
      </c>
      <c r="J188" s="200" t="str">
        <f>IF(controle_formulario!$C$39=1,controle_formulario!$C$37,controle_formulario!$C$38)</f>
        <v>Epidemiologico Beneficiarios Saude Suplementar</v>
      </c>
      <c r="K188" s="197" t="s">
        <v>170</v>
      </c>
      <c r="L188" s="197">
        <f t="shared" si="86"/>
        <v>0</v>
      </c>
      <c r="M188" s="201">
        <f t="shared" si="88"/>
        <v>0</v>
      </c>
      <c r="N188" s="201">
        <f t="shared" si="88"/>
        <v>0</v>
      </c>
      <c r="O188" s="197" t="s">
        <v>174</v>
      </c>
      <c r="P188" s="197" t="str">
        <f t="shared" si="89"/>
        <v>Taxa de difusão em X anos: XX%</v>
      </c>
      <c r="Q188" s="202">
        <f>'Market Share'!O30</f>
        <v>0</v>
      </c>
      <c r="R188" s="203">
        <f t="shared" ca="1" si="85"/>
        <v>0</v>
      </c>
      <c r="S188" s="204">
        <f t="shared" ca="1" si="85"/>
        <v>0</v>
      </c>
    </row>
    <row r="189" spans="1:19" x14ac:dyDescent="0.3">
      <c r="A189" s="198" t="str">
        <f>IF(AND(VALUE(RIGHT(O189,2))&lt;=controle_formulario!$E$16,VALUE(RIGHT(K189,2))&lt;=controle_formulario!$C$10,H189&lt;=Criterios!$C$31+controle_formulario!$I$16-1),"SIM","NÃO")</f>
        <v>NÃO</v>
      </c>
      <c r="B189" s="198">
        <f t="shared" si="61"/>
        <v>0</v>
      </c>
      <c r="C189" s="198" t="str">
        <f t="shared" si="62"/>
        <v>Formrol</v>
      </c>
      <c r="D189" s="179"/>
      <c r="E189" s="198" t="str">
        <f t="shared" si="63"/>
        <v>Planilha 1</v>
      </c>
      <c r="F189" s="198" t="str">
        <f t="shared" si="64"/>
        <v>Geral</v>
      </c>
      <c r="G189" s="198" t="s">
        <v>25</v>
      </c>
      <c r="H189" s="199">
        <f t="shared" si="87"/>
        <v>2033</v>
      </c>
      <c r="I189" s="200">
        <f t="shared" si="87"/>
        <v>0</v>
      </c>
      <c r="J189" s="200" t="str">
        <f>IF(controle_formulario!$C$39=1,controle_formulario!$C$37,controle_formulario!$C$38)</f>
        <v>Epidemiologico Beneficiarios Saude Suplementar</v>
      </c>
      <c r="K189" s="197" t="s">
        <v>170</v>
      </c>
      <c r="L189" s="197">
        <f t="shared" si="86"/>
        <v>0</v>
      </c>
      <c r="M189" s="201">
        <f t="shared" si="88"/>
        <v>0</v>
      </c>
      <c r="N189" s="201">
        <f t="shared" si="88"/>
        <v>0</v>
      </c>
      <c r="O189" s="197" t="s">
        <v>174</v>
      </c>
      <c r="P189" s="197" t="str">
        <f t="shared" si="89"/>
        <v>Taxa de difusão em X anos: XX%</v>
      </c>
      <c r="Q189" s="202">
        <f>'Market Share'!O31</f>
        <v>0</v>
      </c>
      <c r="R189" s="203">
        <f t="shared" ca="1" si="85"/>
        <v>0</v>
      </c>
      <c r="S189" s="204">
        <f t="shared" ca="1" si="85"/>
        <v>0</v>
      </c>
    </row>
    <row r="190" spans="1:19" x14ac:dyDescent="0.3">
      <c r="A190" s="198" t="str">
        <f>IF(AND(VALUE(RIGHT(O190,2))&lt;=controle_formulario!$E$16,VALUE(RIGHT(K190,2))&lt;=controle_formulario!$C$10,H190&lt;=Criterios!$C$31+controle_formulario!$I$16-1),"SIM","NÃO")</f>
        <v>NÃO</v>
      </c>
      <c r="B190" s="198">
        <f t="shared" si="61"/>
        <v>0</v>
      </c>
      <c r="C190" s="198" t="str">
        <f t="shared" si="62"/>
        <v>Formrol</v>
      </c>
      <c r="D190" s="179"/>
      <c r="E190" s="198" t="str">
        <f t="shared" si="63"/>
        <v>Planilha 1</v>
      </c>
      <c r="F190" s="198" t="str">
        <f t="shared" si="64"/>
        <v>Geral</v>
      </c>
      <c r="G190" s="198" t="s">
        <v>26</v>
      </c>
      <c r="H190" s="199">
        <f t="shared" si="87"/>
        <v>2034</v>
      </c>
      <c r="I190" s="200">
        <f t="shared" si="87"/>
        <v>0</v>
      </c>
      <c r="J190" s="200" t="str">
        <f>IF(controle_formulario!$C$39=1,controle_formulario!$C$37,controle_formulario!$C$38)</f>
        <v>Epidemiologico Beneficiarios Saude Suplementar</v>
      </c>
      <c r="K190" s="197" t="s">
        <v>170</v>
      </c>
      <c r="L190" s="197">
        <f t="shared" si="86"/>
        <v>0</v>
      </c>
      <c r="M190" s="201">
        <f t="shared" si="88"/>
        <v>0</v>
      </c>
      <c r="N190" s="201">
        <f t="shared" si="88"/>
        <v>0</v>
      </c>
      <c r="O190" s="197" t="s">
        <v>174</v>
      </c>
      <c r="P190" s="197" t="str">
        <f t="shared" si="89"/>
        <v>Taxa de difusão em X anos: XX%</v>
      </c>
      <c r="Q190" s="202">
        <f>'Market Share'!O32</f>
        <v>0</v>
      </c>
      <c r="R190" s="203">
        <f t="shared" ca="1" si="85"/>
        <v>0</v>
      </c>
      <c r="S190" s="204">
        <f t="shared" ca="1" si="85"/>
        <v>0</v>
      </c>
    </row>
    <row r="191" spans="1:19" ht="15" thickBot="1" x14ac:dyDescent="0.35">
      <c r="A191" s="205" t="str">
        <f>IF(AND(VALUE(RIGHT(O191,2))&lt;=controle_formulario!$E$16,VALUE(RIGHT(K191,2))&lt;=controle_formulario!$C$10,H191&lt;=Criterios!$C$31+controle_formulario!$I$16-1),"SIM","NÃO")</f>
        <v>NÃO</v>
      </c>
      <c r="B191" s="205">
        <f t="shared" si="61"/>
        <v>0</v>
      </c>
      <c r="C191" s="205" t="str">
        <f t="shared" si="62"/>
        <v>Formrol</v>
      </c>
      <c r="D191" s="180"/>
      <c r="E191" s="205" t="str">
        <f t="shared" si="63"/>
        <v>Planilha 1</v>
      </c>
      <c r="F191" s="205" t="str">
        <f t="shared" si="64"/>
        <v>Geral</v>
      </c>
      <c r="G191" s="205" t="s">
        <v>27</v>
      </c>
      <c r="H191" s="212">
        <f t="shared" si="87"/>
        <v>2035</v>
      </c>
      <c r="I191" s="213">
        <f t="shared" si="87"/>
        <v>0</v>
      </c>
      <c r="J191" s="207" t="str">
        <f>IF(controle_formulario!$C$39=1,controle_formulario!$C$37,controle_formulario!$C$38)</f>
        <v>Epidemiologico Beneficiarios Saude Suplementar</v>
      </c>
      <c r="K191" s="208" t="s">
        <v>170</v>
      </c>
      <c r="L191" s="208">
        <f t="shared" si="86"/>
        <v>0</v>
      </c>
      <c r="M191" s="201">
        <f t="shared" si="88"/>
        <v>0</v>
      </c>
      <c r="N191" s="201">
        <f t="shared" si="88"/>
        <v>0</v>
      </c>
      <c r="O191" s="214" t="s">
        <v>174</v>
      </c>
      <c r="P191" s="214" t="str">
        <f t="shared" si="89"/>
        <v>Taxa de difusão em X anos: XX%</v>
      </c>
      <c r="Q191" s="215">
        <f>'Market Share'!O33</f>
        <v>0</v>
      </c>
      <c r="R191" s="216">
        <f t="shared" ca="1" si="85"/>
        <v>0</v>
      </c>
      <c r="S191" s="217">
        <f t="shared" ca="1" si="85"/>
        <v>0</v>
      </c>
    </row>
    <row r="192" spans="1:19" x14ac:dyDescent="0.3">
      <c r="A192" s="189" t="str">
        <f>IF(AND(VALUE(RIGHT(O192,2))&lt;=controle_formulario!$E$16,VALUE(RIGHT(K192,2))&lt;=controle_formulario!$C$10,H192&lt;=Criterios!$C$31+controle_formulario!$I$16-1),"SIM","NÃO")</f>
        <v>NÃO</v>
      </c>
      <c r="B192" s="189">
        <f t="shared" si="61"/>
        <v>0</v>
      </c>
      <c r="C192" s="189" t="str">
        <f t="shared" si="62"/>
        <v>Formrol</v>
      </c>
      <c r="D192" s="177"/>
      <c r="E192" s="189" t="str">
        <f t="shared" si="63"/>
        <v>Planilha 1</v>
      </c>
      <c r="F192" s="189" t="str">
        <f t="shared" si="64"/>
        <v>Geral</v>
      </c>
      <c r="G192" s="189" t="s">
        <v>18</v>
      </c>
      <c r="H192" s="190">
        <f>H182</f>
        <v>2026</v>
      </c>
      <c r="I192" s="191">
        <f ca="1">I182</f>
        <v>35.902021176061034</v>
      </c>
      <c r="J192" s="191" t="str">
        <f>IF(controle_formulario!$C$39=1,controle_formulario!$C$37,controle_formulario!$C$38)</f>
        <v>Epidemiologico Beneficiarios Saude Suplementar</v>
      </c>
      <c r="K192" s="192" t="s">
        <v>171</v>
      </c>
      <c r="L192" s="192">
        <f t="shared" ref="L192:L201" si="90">trat.d</f>
        <v>0</v>
      </c>
      <c r="M192" s="193">
        <f>Resumo!$D$42</f>
        <v>0</v>
      </c>
      <c r="N192" s="193">
        <f>Resumo!$D$51</f>
        <v>0</v>
      </c>
      <c r="O192" s="192" t="s">
        <v>174</v>
      </c>
      <c r="P192" s="192" t="str">
        <f t="shared" si="89"/>
        <v>Taxa de difusão em X anos: XX%</v>
      </c>
      <c r="Q192" s="194">
        <f>'Market Share'!P24</f>
        <v>0</v>
      </c>
      <c r="R192" s="195">
        <f ca="1">R182</f>
        <v>0</v>
      </c>
      <c r="S192" s="196">
        <f ca="1">S182</f>
        <v>-4110544.4385289042</v>
      </c>
    </row>
    <row r="193" spans="1:19" x14ac:dyDescent="0.3">
      <c r="A193" s="198" t="str">
        <f>IF(AND(VALUE(RIGHT(O193,2))&lt;=controle_formulario!$E$16,VALUE(RIGHT(K193,2))&lt;=controle_formulario!$C$10,H193&lt;=Criterios!$C$31+controle_formulario!$I$16-1),"SIM","NÃO")</f>
        <v>NÃO</v>
      </c>
      <c r="B193" s="198">
        <f t="shared" si="61"/>
        <v>0</v>
      </c>
      <c r="C193" s="198" t="str">
        <f t="shared" si="62"/>
        <v>Formrol</v>
      </c>
      <c r="D193" s="179"/>
      <c r="E193" s="198" t="str">
        <f t="shared" si="63"/>
        <v>Planilha 1</v>
      </c>
      <c r="F193" s="198" t="str">
        <f t="shared" si="64"/>
        <v>Geral</v>
      </c>
      <c r="G193" s="198" t="s">
        <v>19</v>
      </c>
      <c r="H193" s="199">
        <f t="shared" ref="H193:I201" si="91">H183</f>
        <v>2027</v>
      </c>
      <c r="I193" s="200">
        <f t="shared" ca="1" si="91"/>
        <v>36.027114594978322</v>
      </c>
      <c r="J193" s="200" t="str">
        <f>IF(controle_formulario!$C$39=1,controle_formulario!$C$37,controle_formulario!$C$38)</f>
        <v>Epidemiologico Beneficiarios Saude Suplementar</v>
      </c>
      <c r="K193" s="197" t="s">
        <v>171</v>
      </c>
      <c r="L193" s="197">
        <f t="shared" si="90"/>
        <v>0</v>
      </c>
      <c r="M193" s="201">
        <f>M192</f>
        <v>0</v>
      </c>
      <c r="N193" s="201">
        <f>N192</f>
        <v>0</v>
      </c>
      <c r="O193" s="197" t="s">
        <v>174</v>
      </c>
      <c r="P193" s="197" t="str">
        <f t="shared" si="89"/>
        <v>Taxa de difusão em X anos: XX%</v>
      </c>
      <c r="Q193" s="202">
        <f>'Market Share'!P25</f>
        <v>0</v>
      </c>
      <c r="R193" s="203">
        <f t="shared" ca="1" si="85"/>
        <v>0</v>
      </c>
      <c r="S193" s="204">
        <f t="shared" ca="1" si="85"/>
        <v>-4124866.8092641174</v>
      </c>
    </row>
    <row r="194" spans="1:19" x14ac:dyDescent="0.3">
      <c r="A194" s="198" t="str">
        <f>IF(AND(VALUE(RIGHT(O194,2))&lt;=controle_formulario!$E$16,VALUE(RIGHT(K194,2))&lt;=controle_formulario!$C$10,H194&lt;=Criterios!$C$31+controle_formulario!$I$16-1),"SIM","NÃO")</f>
        <v>NÃO</v>
      </c>
      <c r="B194" s="198">
        <f t="shared" si="61"/>
        <v>0</v>
      </c>
      <c r="C194" s="198" t="str">
        <f t="shared" si="62"/>
        <v>Formrol</v>
      </c>
      <c r="D194" s="179"/>
      <c r="E194" s="198" t="str">
        <f t="shared" si="63"/>
        <v>Planilha 1</v>
      </c>
      <c r="F194" s="198" t="str">
        <f t="shared" si="64"/>
        <v>Geral</v>
      </c>
      <c r="G194" s="198" t="s">
        <v>20</v>
      </c>
      <c r="H194" s="199">
        <f t="shared" si="91"/>
        <v>2028</v>
      </c>
      <c r="I194" s="200">
        <f t="shared" ca="1" si="91"/>
        <v>36.142742272880319</v>
      </c>
      <c r="J194" s="200" t="str">
        <f>IF(controle_formulario!$C$39=1,controle_formulario!$C$37,controle_formulario!$C$38)</f>
        <v>Epidemiologico Beneficiarios Saude Suplementar</v>
      </c>
      <c r="K194" s="197" t="s">
        <v>171</v>
      </c>
      <c r="L194" s="197">
        <f t="shared" si="90"/>
        <v>0</v>
      </c>
      <c r="M194" s="201">
        <f t="shared" ref="M194:N201" si="92">M193</f>
        <v>0</v>
      </c>
      <c r="N194" s="201">
        <f t="shared" si="92"/>
        <v>0</v>
      </c>
      <c r="O194" s="197" t="s">
        <v>174</v>
      </c>
      <c r="P194" s="197" t="str">
        <f t="shared" si="89"/>
        <v>Taxa de difusão em X anos: XX%</v>
      </c>
      <c r="Q194" s="202">
        <f>'Market Share'!P26</f>
        <v>0</v>
      </c>
      <c r="R194" s="203">
        <f t="shared" ca="1" si="85"/>
        <v>0</v>
      </c>
      <c r="S194" s="204">
        <f t="shared" ca="1" si="85"/>
        <v>-4138105.4151356164</v>
      </c>
    </row>
    <row r="195" spans="1:19" x14ac:dyDescent="0.3">
      <c r="A195" s="198" t="str">
        <f>IF(AND(VALUE(RIGHT(O195,2))&lt;=controle_formulario!$E$16,VALUE(RIGHT(K195,2))&lt;=controle_formulario!$C$10,H195&lt;=Criterios!$C$31+controle_formulario!$I$16-1),"SIM","NÃO")</f>
        <v>NÃO</v>
      </c>
      <c r="B195" s="198">
        <f t="shared" ref="B195:B258" si="93">$W$2</f>
        <v>0</v>
      </c>
      <c r="C195" s="198" t="str">
        <f t="shared" ref="C195:C258" si="94">$W$3</f>
        <v>Formrol</v>
      </c>
      <c r="D195" s="179"/>
      <c r="E195" s="198" t="str">
        <f t="shared" ref="E195:E258" si="95">$W$5</f>
        <v>Planilha 1</v>
      </c>
      <c r="F195" s="198" t="str">
        <f t="shared" ref="F195:F258" si="96">$W$6</f>
        <v>Geral</v>
      </c>
      <c r="G195" s="198" t="s">
        <v>21</v>
      </c>
      <c r="H195" s="199">
        <f t="shared" si="91"/>
        <v>2029</v>
      </c>
      <c r="I195" s="200">
        <f t="shared" ca="1" si="91"/>
        <v>36.250027878529522</v>
      </c>
      <c r="J195" s="200" t="str">
        <f>IF(controle_formulario!$C$39=1,controle_formulario!$C$37,controle_formulario!$C$38)</f>
        <v>Epidemiologico Beneficiarios Saude Suplementar</v>
      </c>
      <c r="K195" s="197" t="s">
        <v>171</v>
      </c>
      <c r="L195" s="197">
        <f t="shared" si="90"/>
        <v>0</v>
      </c>
      <c r="M195" s="201">
        <f t="shared" si="92"/>
        <v>0</v>
      </c>
      <c r="N195" s="201">
        <f t="shared" si="92"/>
        <v>0</v>
      </c>
      <c r="O195" s="197" t="s">
        <v>174</v>
      </c>
      <c r="P195" s="197" t="str">
        <f t="shared" si="89"/>
        <v>Taxa de difusão em X anos: XX%</v>
      </c>
      <c r="Q195" s="202">
        <f>'Market Share'!P27</f>
        <v>0</v>
      </c>
      <c r="R195" s="203">
        <f t="shared" ref="R195:S201" ca="1" si="97">R185</f>
        <v>0</v>
      </c>
      <c r="S195" s="204">
        <f t="shared" ca="1" si="97"/>
        <v>-4150388.9087994657</v>
      </c>
    </row>
    <row r="196" spans="1:19" x14ac:dyDescent="0.3">
      <c r="A196" s="198" t="str">
        <f>IF(AND(VALUE(RIGHT(O196,2))&lt;=controle_formulario!$E$16,VALUE(RIGHT(K196,2))&lt;=controle_formulario!$C$10,H196&lt;=Criterios!$C$31+controle_formulario!$I$16-1),"SIM","NÃO")</f>
        <v>NÃO</v>
      </c>
      <c r="B196" s="198">
        <f t="shared" si="93"/>
        <v>0</v>
      </c>
      <c r="C196" s="198" t="str">
        <f t="shared" si="94"/>
        <v>Formrol</v>
      </c>
      <c r="D196" s="179"/>
      <c r="E196" s="198" t="str">
        <f t="shared" si="95"/>
        <v>Planilha 1</v>
      </c>
      <c r="F196" s="198" t="str">
        <f t="shared" si="96"/>
        <v>Geral</v>
      </c>
      <c r="G196" s="198" t="s">
        <v>22</v>
      </c>
      <c r="H196" s="199">
        <f t="shared" si="91"/>
        <v>2030</v>
      </c>
      <c r="I196" s="200">
        <f t="shared" ca="1" si="91"/>
        <v>36.350592396534239</v>
      </c>
      <c r="J196" s="200" t="str">
        <f>IF(controle_formulario!$C$39=1,controle_formulario!$C$37,controle_formulario!$C$38)</f>
        <v>Epidemiologico Beneficiarios Saude Suplementar</v>
      </c>
      <c r="K196" s="197" t="s">
        <v>171</v>
      </c>
      <c r="L196" s="197">
        <f t="shared" si="90"/>
        <v>0</v>
      </c>
      <c r="M196" s="201">
        <f t="shared" si="92"/>
        <v>0</v>
      </c>
      <c r="N196" s="201">
        <f t="shared" si="92"/>
        <v>0</v>
      </c>
      <c r="O196" s="197" t="s">
        <v>174</v>
      </c>
      <c r="P196" s="197" t="str">
        <f t="shared" si="89"/>
        <v>Taxa de difusão em X anos: XX%</v>
      </c>
      <c r="Q196" s="202">
        <f>'Market Share'!P28</f>
        <v>0</v>
      </c>
      <c r="R196" s="203">
        <f t="shared" ca="1" si="97"/>
        <v>0</v>
      </c>
      <c r="S196" s="204">
        <f t="shared" ca="1" si="97"/>
        <v>-4161902.8822933384</v>
      </c>
    </row>
    <row r="197" spans="1:19" x14ac:dyDescent="0.3">
      <c r="A197" s="198" t="str">
        <f>IF(AND(VALUE(RIGHT(O197,2))&lt;=controle_formulario!$E$16,VALUE(RIGHT(K197,2))&lt;=controle_formulario!$C$10,H197&lt;=Criterios!$C$31+controle_formulario!$I$16-1),"SIM","NÃO")</f>
        <v>NÃO</v>
      </c>
      <c r="B197" s="198">
        <f t="shared" si="93"/>
        <v>0</v>
      </c>
      <c r="C197" s="198" t="str">
        <f t="shared" si="94"/>
        <v>Formrol</v>
      </c>
      <c r="D197" s="179"/>
      <c r="E197" s="198" t="str">
        <f t="shared" si="95"/>
        <v>Planilha 1</v>
      </c>
      <c r="F197" s="198" t="str">
        <f t="shared" si="96"/>
        <v>Geral</v>
      </c>
      <c r="G197" s="198" t="s">
        <v>23</v>
      </c>
      <c r="H197" s="199">
        <f t="shared" si="91"/>
        <v>2031</v>
      </c>
      <c r="I197" s="200">
        <f t="shared" si="91"/>
        <v>0</v>
      </c>
      <c r="J197" s="200" t="str">
        <f>IF(controle_formulario!$C$39=1,controle_formulario!$C$37,controle_formulario!$C$38)</f>
        <v>Epidemiologico Beneficiarios Saude Suplementar</v>
      </c>
      <c r="K197" s="197" t="s">
        <v>171</v>
      </c>
      <c r="L197" s="197">
        <f t="shared" si="90"/>
        <v>0</v>
      </c>
      <c r="M197" s="201">
        <f t="shared" si="92"/>
        <v>0</v>
      </c>
      <c r="N197" s="201">
        <f t="shared" si="92"/>
        <v>0</v>
      </c>
      <c r="O197" s="197" t="s">
        <v>174</v>
      </c>
      <c r="P197" s="197" t="str">
        <f t="shared" si="89"/>
        <v>Taxa de difusão em X anos: XX%</v>
      </c>
      <c r="Q197" s="202">
        <f>'Market Share'!P29</f>
        <v>0</v>
      </c>
      <c r="R197" s="203">
        <f t="shared" ca="1" si="97"/>
        <v>0</v>
      </c>
      <c r="S197" s="204">
        <f t="shared" ca="1" si="97"/>
        <v>0</v>
      </c>
    </row>
    <row r="198" spans="1:19" x14ac:dyDescent="0.3">
      <c r="A198" s="198" t="str">
        <f>IF(AND(VALUE(RIGHT(O198,2))&lt;=controle_formulario!$E$16,VALUE(RIGHT(K198,2))&lt;=controle_formulario!$C$10,H198&lt;=Criterios!$C$31+controle_formulario!$I$16-1),"SIM","NÃO")</f>
        <v>NÃO</v>
      </c>
      <c r="B198" s="198">
        <f t="shared" si="93"/>
        <v>0</v>
      </c>
      <c r="C198" s="198" t="str">
        <f t="shared" si="94"/>
        <v>Formrol</v>
      </c>
      <c r="D198" s="179"/>
      <c r="E198" s="198" t="str">
        <f t="shared" si="95"/>
        <v>Planilha 1</v>
      </c>
      <c r="F198" s="198" t="str">
        <f t="shared" si="96"/>
        <v>Geral</v>
      </c>
      <c r="G198" s="198" t="s">
        <v>24</v>
      </c>
      <c r="H198" s="199">
        <f t="shared" si="91"/>
        <v>2032</v>
      </c>
      <c r="I198" s="200">
        <f t="shared" si="91"/>
        <v>0</v>
      </c>
      <c r="J198" s="200" t="str">
        <f>IF(controle_formulario!$C$39=1,controle_formulario!$C$37,controle_formulario!$C$38)</f>
        <v>Epidemiologico Beneficiarios Saude Suplementar</v>
      </c>
      <c r="K198" s="197" t="s">
        <v>171</v>
      </c>
      <c r="L198" s="197">
        <f t="shared" si="90"/>
        <v>0</v>
      </c>
      <c r="M198" s="201">
        <f t="shared" si="92"/>
        <v>0</v>
      </c>
      <c r="N198" s="201">
        <f t="shared" si="92"/>
        <v>0</v>
      </c>
      <c r="O198" s="197" t="s">
        <v>174</v>
      </c>
      <c r="P198" s="197" t="str">
        <f t="shared" si="89"/>
        <v>Taxa de difusão em X anos: XX%</v>
      </c>
      <c r="Q198" s="202">
        <f>'Market Share'!P30</f>
        <v>0</v>
      </c>
      <c r="R198" s="203">
        <f t="shared" ca="1" si="97"/>
        <v>0</v>
      </c>
      <c r="S198" s="204">
        <f t="shared" ca="1" si="97"/>
        <v>0</v>
      </c>
    </row>
    <row r="199" spans="1:19" x14ac:dyDescent="0.3">
      <c r="A199" s="198" t="str">
        <f>IF(AND(VALUE(RIGHT(O199,2))&lt;=controle_formulario!$E$16,VALUE(RIGHT(K199,2))&lt;=controle_formulario!$C$10,H199&lt;=Criterios!$C$31+controle_formulario!$I$16-1),"SIM","NÃO")</f>
        <v>NÃO</v>
      </c>
      <c r="B199" s="198">
        <f t="shared" si="93"/>
        <v>0</v>
      </c>
      <c r="C199" s="198" t="str">
        <f t="shared" si="94"/>
        <v>Formrol</v>
      </c>
      <c r="D199" s="179"/>
      <c r="E199" s="198" t="str">
        <f t="shared" si="95"/>
        <v>Planilha 1</v>
      </c>
      <c r="F199" s="198" t="str">
        <f t="shared" si="96"/>
        <v>Geral</v>
      </c>
      <c r="G199" s="198" t="s">
        <v>25</v>
      </c>
      <c r="H199" s="199">
        <f t="shared" si="91"/>
        <v>2033</v>
      </c>
      <c r="I199" s="200">
        <f t="shared" si="91"/>
        <v>0</v>
      </c>
      <c r="J199" s="200" t="str">
        <f>IF(controle_formulario!$C$39=1,controle_formulario!$C$37,controle_formulario!$C$38)</f>
        <v>Epidemiologico Beneficiarios Saude Suplementar</v>
      </c>
      <c r="K199" s="197" t="s">
        <v>171</v>
      </c>
      <c r="L199" s="197">
        <f t="shared" si="90"/>
        <v>0</v>
      </c>
      <c r="M199" s="201">
        <f t="shared" si="92"/>
        <v>0</v>
      </c>
      <c r="N199" s="201">
        <f t="shared" si="92"/>
        <v>0</v>
      </c>
      <c r="O199" s="197" t="s">
        <v>174</v>
      </c>
      <c r="P199" s="197" t="str">
        <f t="shared" si="89"/>
        <v>Taxa de difusão em X anos: XX%</v>
      </c>
      <c r="Q199" s="202">
        <f>'Market Share'!P31</f>
        <v>0</v>
      </c>
      <c r="R199" s="203">
        <f t="shared" ca="1" si="97"/>
        <v>0</v>
      </c>
      <c r="S199" s="204">
        <f t="shared" ca="1" si="97"/>
        <v>0</v>
      </c>
    </row>
    <row r="200" spans="1:19" x14ac:dyDescent="0.3">
      <c r="A200" s="198" t="str">
        <f>IF(AND(VALUE(RIGHT(O200,2))&lt;=controle_formulario!$E$16,VALUE(RIGHT(K200,2))&lt;=controle_formulario!$C$10,H200&lt;=Criterios!$C$31+controle_formulario!$I$16-1),"SIM","NÃO")</f>
        <v>NÃO</v>
      </c>
      <c r="B200" s="198">
        <f t="shared" si="93"/>
        <v>0</v>
      </c>
      <c r="C200" s="198" t="str">
        <f t="shared" si="94"/>
        <v>Formrol</v>
      </c>
      <c r="D200" s="179"/>
      <c r="E200" s="198" t="str">
        <f t="shared" si="95"/>
        <v>Planilha 1</v>
      </c>
      <c r="F200" s="198" t="str">
        <f t="shared" si="96"/>
        <v>Geral</v>
      </c>
      <c r="G200" s="198" t="s">
        <v>26</v>
      </c>
      <c r="H200" s="199">
        <f t="shared" si="91"/>
        <v>2034</v>
      </c>
      <c r="I200" s="200">
        <f t="shared" si="91"/>
        <v>0</v>
      </c>
      <c r="J200" s="200" t="str">
        <f>IF(controle_formulario!$C$39=1,controle_formulario!$C$37,controle_formulario!$C$38)</f>
        <v>Epidemiologico Beneficiarios Saude Suplementar</v>
      </c>
      <c r="K200" s="197" t="s">
        <v>171</v>
      </c>
      <c r="L200" s="197">
        <f t="shared" si="90"/>
        <v>0</v>
      </c>
      <c r="M200" s="201">
        <f t="shared" si="92"/>
        <v>0</v>
      </c>
      <c r="N200" s="201">
        <f t="shared" si="92"/>
        <v>0</v>
      </c>
      <c r="O200" s="197" t="s">
        <v>174</v>
      </c>
      <c r="P200" s="197" t="str">
        <f t="shared" si="89"/>
        <v>Taxa de difusão em X anos: XX%</v>
      </c>
      <c r="Q200" s="202">
        <f>'Market Share'!P32</f>
        <v>0</v>
      </c>
      <c r="R200" s="203">
        <f t="shared" ca="1" si="97"/>
        <v>0</v>
      </c>
      <c r="S200" s="204">
        <f t="shared" ca="1" si="97"/>
        <v>0</v>
      </c>
    </row>
    <row r="201" spans="1:19" ht="15" thickBot="1" x14ac:dyDescent="0.35">
      <c r="A201" s="205" t="str">
        <f>IF(AND(VALUE(RIGHT(O201,2))&lt;=controle_formulario!$E$16,VALUE(RIGHT(K201,2))&lt;=controle_formulario!$C$10,H201&lt;=Criterios!$C$31+controle_formulario!$I$16-1),"SIM","NÃO")</f>
        <v>NÃO</v>
      </c>
      <c r="B201" s="205">
        <f t="shared" si="93"/>
        <v>0</v>
      </c>
      <c r="C201" s="205" t="str">
        <f t="shared" si="94"/>
        <v>Formrol</v>
      </c>
      <c r="D201" s="180"/>
      <c r="E201" s="205" t="str">
        <f t="shared" si="95"/>
        <v>Planilha 1</v>
      </c>
      <c r="F201" s="205" t="str">
        <f t="shared" si="96"/>
        <v>Geral</v>
      </c>
      <c r="G201" s="205" t="s">
        <v>27</v>
      </c>
      <c r="H201" s="212">
        <f t="shared" si="91"/>
        <v>2035</v>
      </c>
      <c r="I201" s="213">
        <f t="shared" si="91"/>
        <v>0</v>
      </c>
      <c r="J201" s="213" t="str">
        <f>IF(controle_formulario!$C$39=1,controle_formulario!$C$37,controle_formulario!$C$38)</f>
        <v>Epidemiologico Beneficiarios Saude Suplementar</v>
      </c>
      <c r="K201" s="214" t="s">
        <v>171</v>
      </c>
      <c r="L201" s="214">
        <f t="shared" si="90"/>
        <v>0</v>
      </c>
      <c r="M201" s="201">
        <f t="shared" si="92"/>
        <v>0</v>
      </c>
      <c r="N201" s="201">
        <f t="shared" si="92"/>
        <v>0</v>
      </c>
      <c r="O201" s="214" t="s">
        <v>174</v>
      </c>
      <c r="P201" s="214" t="str">
        <f t="shared" si="89"/>
        <v>Taxa de difusão em X anos: XX%</v>
      </c>
      <c r="Q201" s="215">
        <f>'Market Share'!P33</f>
        <v>0</v>
      </c>
      <c r="R201" s="216">
        <f t="shared" ca="1" si="97"/>
        <v>0</v>
      </c>
      <c r="S201" s="217">
        <f t="shared" ca="1" si="97"/>
        <v>0</v>
      </c>
    </row>
    <row r="202" spans="1:19" x14ac:dyDescent="0.3">
      <c r="A202" s="189" t="str">
        <f>IF(AND(VALUE(RIGHT(O202,2))&lt;=controle_formulario!$E$16,H202&lt;=Criterios!$C$31+controle_formulario!$I$16-1),"SIM","NÃO")</f>
        <v>NÃO</v>
      </c>
      <c r="B202" s="189">
        <f t="shared" si="93"/>
        <v>0</v>
      </c>
      <c r="C202" s="189" t="str">
        <f t="shared" si="94"/>
        <v>Formrol</v>
      </c>
      <c r="D202" s="177"/>
      <c r="E202" s="189" t="str">
        <f t="shared" si="95"/>
        <v>Planilha 1</v>
      </c>
      <c r="F202" s="189" t="str">
        <f t="shared" si="96"/>
        <v>Geral</v>
      </c>
      <c r="G202" s="189" t="s">
        <v>18</v>
      </c>
      <c r="H202" s="190">
        <f>H192</f>
        <v>2026</v>
      </c>
      <c r="I202" s="191">
        <f ca="1">I192</f>
        <v>35.902021176061034</v>
      </c>
      <c r="J202" s="191" t="str">
        <f>IF(controle_formulario!$C$39=1,controle_formulario!$C$37,controle_formulario!$C$38)</f>
        <v>Epidemiologico Beneficiarios Saude Suplementar</v>
      </c>
      <c r="K202" s="192" t="s">
        <v>157</v>
      </c>
      <c r="L202" s="192" t="str">
        <f t="shared" ref="L202:L211" si="98">trat.novo</f>
        <v>Pirtobrutinibe</v>
      </c>
      <c r="M202" s="193">
        <f>Resumo!$D$38</f>
        <v>470468.67999999976</v>
      </c>
      <c r="N202" s="193">
        <f>Resumo!$D$47</f>
        <v>0</v>
      </c>
      <c r="O202" s="192" t="s">
        <v>175</v>
      </c>
      <c r="P202" s="192" t="str">
        <f t="shared" ref="P202:P233" si="99">cen.alt4</f>
        <v>Taxa de difusão em X anos: XX%</v>
      </c>
      <c r="Q202" s="194">
        <f>'Market Share'!D40</f>
        <v>0</v>
      </c>
      <c r="R202" s="195">
        <f ca="1">Resumo!H56</f>
        <v>0</v>
      </c>
      <c r="S202" s="196">
        <f ca="1">Resumo!H72</f>
        <v>-4110544.4385289042</v>
      </c>
    </row>
    <row r="203" spans="1:19" x14ac:dyDescent="0.3">
      <c r="A203" s="198" t="str">
        <f>IF(AND(VALUE(RIGHT(O203,2))&lt;=controle_formulario!$E$16,H203&lt;=Criterios!$C$31+controle_formulario!$I$16-1),"SIM","NÃO")</f>
        <v>NÃO</v>
      </c>
      <c r="B203" s="198">
        <f t="shared" si="93"/>
        <v>0</v>
      </c>
      <c r="C203" s="198" t="str">
        <f t="shared" si="94"/>
        <v>Formrol</v>
      </c>
      <c r="D203" s="179"/>
      <c r="E203" s="198" t="str">
        <f t="shared" si="95"/>
        <v>Planilha 1</v>
      </c>
      <c r="F203" s="198" t="str">
        <f t="shared" si="96"/>
        <v>Geral</v>
      </c>
      <c r="G203" s="198" t="s">
        <v>19</v>
      </c>
      <c r="H203" s="199">
        <f t="shared" ref="H203:I211" si="100">H193</f>
        <v>2027</v>
      </c>
      <c r="I203" s="200">
        <f t="shared" ca="1" si="100"/>
        <v>36.027114594978322</v>
      </c>
      <c r="J203" s="200" t="str">
        <f>IF(controle_formulario!$C$39=1,controle_formulario!$C$37,controle_formulario!$C$38)</f>
        <v>Epidemiologico Beneficiarios Saude Suplementar</v>
      </c>
      <c r="K203" s="197" t="s">
        <v>157</v>
      </c>
      <c r="L203" s="197" t="str">
        <f t="shared" si="98"/>
        <v>Pirtobrutinibe</v>
      </c>
      <c r="M203" s="201">
        <f>M202</f>
        <v>470468.67999999976</v>
      </c>
      <c r="N203" s="201">
        <f>N202</f>
        <v>0</v>
      </c>
      <c r="O203" s="197" t="s">
        <v>175</v>
      </c>
      <c r="P203" s="197" t="str">
        <f t="shared" si="99"/>
        <v>Taxa de difusão em X anos: XX%</v>
      </c>
      <c r="Q203" s="202">
        <f>'Market Share'!D41</f>
        <v>0</v>
      </c>
      <c r="R203" s="203">
        <f ca="1">Resumo!H57</f>
        <v>0</v>
      </c>
      <c r="S203" s="204">
        <f ca="1">Resumo!H73</f>
        <v>-4124866.8092641174</v>
      </c>
    </row>
    <row r="204" spans="1:19" x14ac:dyDescent="0.3">
      <c r="A204" s="198" t="str">
        <f>IF(AND(VALUE(RIGHT(O204,2))&lt;=controle_formulario!$E$16,H204&lt;=Criterios!$C$31+controle_formulario!$I$16-1),"SIM","NÃO")</f>
        <v>NÃO</v>
      </c>
      <c r="B204" s="198">
        <f t="shared" si="93"/>
        <v>0</v>
      </c>
      <c r="C204" s="198" t="str">
        <f t="shared" si="94"/>
        <v>Formrol</v>
      </c>
      <c r="D204" s="179"/>
      <c r="E204" s="198" t="str">
        <f t="shared" si="95"/>
        <v>Planilha 1</v>
      </c>
      <c r="F204" s="198" t="str">
        <f t="shared" si="96"/>
        <v>Geral</v>
      </c>
      <c r="G204" s="198" t="s">
        <v>20</v>
      </c>
      <c r="H204" s="199">
        <f t="shared" si="100"/>
        <v>2028</v>
      </c>
      <c r="I204" s="200">
        <f t="shared" ca="1" si="100"/>
        <v>36.142742272880319</v>
      </c>
      <c r="J204" s="200" t="str">
        <f>IF(controle_formulario!$C$39=1,controle_formulario!$C$37,controle_formulario!$C$38)</f>
        <v>Epidemiologico Beneficiarios Saude Suplementar</v>
      </c>
      <c r="K204" s="197" t="s">
        <v>157</v>
      </c>
      <c r="L204" s="197" t="str">
        <f t="shared" si="98"/>
        <v>Pirtobrutinibe</v>
      </c>
      <c r="M204" s="201">
        <f t="shared" ref="M204:N211" si="101">M203</f>
        <v>470468.67999999976</v>
      </c>
      <c r="N204" s="201">
        <f t="shared" si="101"/>
        <v>0</v>
      </c>
      <c r="O204" s="197" t="s">
        <v>175</v>
      </c>
      <c r="P204" s="197" t="str">
        <f t="shared" si="99"/>
        <v>Taxa de difusão em X anos: XX%</v>
      </c>
      <c r="Q204" s="202">
        <f>'Market Share'!D42</f>
        <v>0</v>
      </c>
      <c r="R204" s="203">
        <f ca="1">Resumo!H58</f>
        <v>0</v>
      </c>
      <c r="S204" s="204">
        <f ca="1">Resumo!H74</f>
        <v>-4138105.4151356164</v>
      </c>
    </row>
    <row r="205" spans="1:19" x14ac:dyDescent="0.3">
      <c r="A205" s="198" t="str">
        <f>IF(AND(VALUE(RIGHT(O205,2))&lt;=controle_formulario!$E$16,H205&lt;=Criterios!$C$31+controle_formulario!$I$16-1),"SIM","NÃO")</f>
        <v>NÃO</v>
      </c>
      <c r="B205" s="198">
        <f t="shared" si="93"/>
        <v>0</v>
      </c>
      <c r="C205" s="198" t="str">
        <f t="shared" si="94"/>
        <v>Formrol</v>
      </c>
      <c r="D205" s="179"/>
      <c r="E205" s="198" t="str">
        <f t="shared" si="95"/>
        <v>Planilha 1</v>
      </c>
      <c r="F205" s="198" t="str">
        <f t="shared" si="96"/>
        <v>Geral</v>
      </c>
      <c r="G205" s="198" t="s">
        <v>21</v>
      </c>
      <c r="H205" s="199">
        <f t="shared" si="100"/>
        <v>2029</v>
      </c>
      <c r="I205" s="200">
        <f t="shared" ca="1" si="100"/>
        <v>36.250027878529522</v>
      </c>
      <c r="J205" s="200" t="str">
        <f>IF(controle_formulario!$C$39=1,controle_formulario!$C$37,controle_formulario!$C$38)</f>
        <v>Epidemiologico Beneficiarios Saude Suplementar</v>
      </c>
      <c r="K205" s="197" t="s">
        <v>157</v>
      </c>
      <c r="L205" s="197" t="str">
        <f t="shared" si="98"/>
        <v>Pirtobrutinibe</v>
      </c>
      <c r="M205" s="201">
        <f t="shared" si="101"/>
        <v>470468.67999999976</v>
      </c>
      <c r="N205" s="201">
        <f t="shared" si="101"/>
        <v>0</v>
      </c>
      <c r="O205" s="197" t="s">
        <v>175</v>
      </c>
      <c r="P205" s="197" t="str">
        <f t="shared" si="99"/>
        <v>Taxa de difusão em X anos: XX%</v>
      </c>
      <c r="Q205" s="202">
        <f>'Market Share'!D43</f>
        <v>0</v>
      </c>
      <c r="R205" s="203">
        <f ca="1">Resumo!H59</f>
        <v>0</v>
      </c>
      <c r="S205" s="204">
        <f ca="1">Resumo!H75</f>
        <v>-4150388.9087994657</v>
      </c>
    </row>
    <row r="206" spans="1:19" x14ac:dyDescent="0.3">
      <c r="A206" s="198" t="str">
        <f>IF(AND(VALUE(RIGHT(O206,2))&lt;=controle_formulario!$E$16,H206&lt;=Criterios!$C$31+controle_formulario!$I$16-1),"SIM","NÃO")</f>
        <v>NÃO</v>
      </c>
      <c r="B206" s="198">
        <f t="shared" si="93"/>
        <v>0</v>
      </c>
      <c r="C206" s="198" t="str">
        <f t="shared" si="94"/>
        <v>Formrol</v>
      </c>
      <c r="D206" s="179"/>
      <c r="E206" s="198" t="str">
        <f t="shared" si="95"/>
        <v>Planilha 1</v>
      </c>
      <c r="F206" s="198" t="str">
        <f t="shared" si="96"/>
        <v>Geral</v>
      </c>
      <c r="G206" s="198" t="s">
        <v>22</v>
      </c>
      <c r="H206" s="199">
        <f t="shared" si="100"/>
        <v>2030</v>
      </c>
      <c r="I206" s="200">
        <f t="shared" ca="1" si="100"/>
        <v>36.350592396534239</v>
      </c>
      <c r="J206" s="200" t="str">
        <f>IF(controle_formulario!$C$39=1,controle_formulario!$C$37,controle_formulario!$C$38)</f>
        <v>Epidemiologico Beneficiarios Saude Suplementar</v>
      </c>
      <c r="K206" s="197" t="s">
        <v>157</v>
      </c>
      <c r="L206" s="197" t="str">
        <f t="shared" si="98"/>
        <v>Pirtobrutinibe</v>
      </c>
      <c r="M206" s="201">
        <f t="shared" si="101"/>
        <v>470468.67999999976</v>
      </c>
      <c r="N206" s="201">
        <f t="shared" si="101"/>
        <v>0</v>
      </c>
      <c r="O206" s="197" t="s">
        <v>175</v>
      </c>
      <c r="P206" s="197" t="str">
        <f t="shared" si="99"/>
        <v>Taxa de difusão em X anos: XX%</v>
      </c>
      <c r="Q206" s="202">
        <f>'Market Share'!D44</f>
        <v>0</v>
      </c>
      <c r="R206" s="203">
        <f ca="1">Resumo!H60</f>
        <v>0</v>
      </c>
      <c r="S206" s="204">
        <f ca="1">Resumo!H76</f>
        <v>-4161902.8822933384</v>
      </c>
    </row>
    <row r="207" spans="1:19" x14ac:dyDescent="0.3">
      <c r="A207" s="198" t="str">
        <f>IF(AND(VALUE(RIGHT(O207,2))&lt;=controle_formulario!$E$16,H207&lt;=Criterios!$C$31+controle_formulario!$I$16-1),"SIM","NÃO")</f>
        <v>NÃO</v>
      </c>
      <c r="B207" s="198">
        <f t="shared" si="93"/>
        <v>0</v>
      </c>
      <c r="C207" s="198" t="str">
        <f t="shared" si="94"/>
        <v>Formrol</v>
      </c>
      <c r="D207" s="179"/>
      <c r="E207" s="198" t="str">
        <f t="shared" si="95"/>
        <v>Planilha 1</v>
      </c>
      <c r="F207" s="198" t="str">
        <f t="shared" si="96"/>
        <v>Geral</v>
      </c>
      <c r="G207" s="198" t="s">
        <v>23</v>
      </c>
      <c r="H207" s="199">
        <f t="shared" si="100"/>
        <v>2031</v>
      </c>
      <c r="I207" s="200">
        <f t="shared" si="100"/>
        <v>0</v>
      </c>
      <c r="J207" s="200" t="str">
        <f>IF(controle_formulario!$C$39=1,controle_formulario!$C$37,controle_formulario!$C$38)</f>
        <v>Epidemiologico Beneficiarios Saude Suplementar</v>
      </c>
      <c r="K207" s="197" t="s">
        <v>157</v>
      </c>
      <c r="L207" s="197" t="str">
        <f t="shared" si="98"/>
        <v>Pirtobrutinibe</v>
      </c>
      <c r="M207" s="201">
        <f t="shared" si="101"/>
        <v>470468.67999999976</v>
      </c>
      <c r="N207" s="201">
        <f t="shared" si="101"/>
        <v>0</v>
      </c>
      <c r="O207" s="197" t="s">
        <v>175</v>
      </c>
      <c r="P207" s="197" t="str">
        <f t="shared" si="99"/>
        <v>Taxa de difusão em X anos: XX%</v>
      </c>
      <c r="Q207" s="202">
        <f>'Market Share'!D45</f>
        <v>0</v>
      </c>
      <c r="R207" s="203">
        <f ca="1">Resumo!H61</f>
        <v>0</v>
      </c>
      <c r="S207" s="204">
        <f ca="1">Resumo!H77</f>
        <v>0</v>
      </c>
    </row>
    <row r="208" spans="1:19" x14ac:dyDescent="0.3">
      <c r="A208" s="198" t="str">
        <f>IF(AND(VALUE(RIGHT(O208,2))&lt;=controle_formulario!$E$16,H208&lt;=Criterios!$C$31+controle_formulario!$I$16-1),"SIM","NÃO")</f>
        <v>NÃO</v>
      </c>
      <c r="B208" s="198">
        <f t="shared" si="93"/>
        <v>0</v>
      </c>
      <c r="C208" s="198" t="str">
        <f t="shared" si="94"/>
        <v>Formrol</v>
      </c>
      <c r="D208" s="179"/>
      <c r="E208" s="198" t="str">
        <f t="shared" si="95"/>
        <v>Planilha 1</v>
      </c>
      <c r="F208" s="198" t="str">
        <f t="shared" si="96"/>
        <v>Geral</v>
      </c>
      <c r="G208" s="198" t="s">
        <v>24</v>
      </c>
      <c r="H208" s="199">
        <f t="shared" si="100"/>
        <v>2032</v>
      </c>
      <c r="I208" s="200">
        <f t="shared" si="100"/>
        <v>0</v>
      </c>
      <c r="J208" s="200" t="str">
        <f>IF(controle_formulario!$C$39=1,controle_formulario!$C$37,controle_formulario!$C$38)</f>
        <v>Epidemiologico Beneficiarios Saude Suplementar</v>
      </c>
      <c r="K208" s="197" t="s">
        <v>157</v>
      </c>
      <c r="L208" s="197" t="str">
        <f t="shared" si="98"/>
        <v>Pirtobrutinibe</v>
      </c>
      <c r="M208" s="201">
        <f t="shared" si="101"/>
        <v>470468.67999999976</v>
      </c>
      <c r="N208" s="201">
        <f t="shared" si="101"/>
        <v>0</v>
      </c>
      <c r="O208" s="197" t="s">
        <v>175</v>
      </c>
      <c r="P208" s="197" t="str">
        <f t="shared" si="99"/>
        <v>Taxa de difusão em X anos: XX%</v>
      </c>
      <c r="Q208" s="202">
        <f>'Market Share'!D46</f>
        <v>0</v>
      </c>
      <c r="R208" s="203">
        <f ca="1">Resumo!H62</f>
        <v>0</v>
      </c>
      <c r="S208" s="204">
        <f ca="1">Resumo!H78</f>
        <v>0</v>
      </c>
    </row>
    <row r="209" spans="1:19" x14ac:dyDescent="0.3">
      <c r="A209" s="198" t="str">
        <f>IF(AND(VALUE(RIGHT(O209,2))&lt;=controle_formulario!$E$16,H209&lt;=Criterios!$C$31+controle_formulario!$I$16-1),"SIM","NÃO")</f>
        <v>NÃO</v>
      </c>
      <c r="B209" s="198">
        <f t="shared" si="93"/>
        <v>0</v>
      </c>
      <c r="C209" s="198" t="str">
        <f t="shared" si="94"/>
        <v>Formrol</v>
      </c>
      <c r="D209" s="179"/>
      <c r="E209" s="198" t="str">
        <f t="shared" si="95"/>
        <v>Planilha 1</v>
      </c>
      <c r="F209" s="198" t="str">
        <f t="shared" si="96"/>
        <v>Geral</v>
      </c>
      <c r="G209" s="198" t="s">
        <v>25</v>
      </c>
      <c r="H209" s="199">
        <f t="shared" si="100"/>
        <v>2033</v>
      </c>
      <c r="I209" s="200">
        <f t="shared" si="100"/>
        <v>0</v>
      </c>
      <c r="J209" s="200" t="str">
        <f>IF(controle_formulario!$C$39=1,controle_formulario!$C$37,controle_formulario!$C$38)</f>
        <v>Epidemiologico Beneficiarios Saude Suplementar</v>
      </c>
      <c r="K209" s="197" t="s">
        <v>157</v>
      </c>
      <c r="L209" s="197" t="str">
        <f t="shared" si="98"/>
        <v>Pirtobrutinibe</v>
      </c>
      <c r="M209" s="201">
        <f t="shared" si="101"/>
        <v>470468.67999999976</v>
      </c>
      <c r="N209" s="201">
        <f t="shared" si="101"/>
        <v>0</v>
      </c>
      <c r="O209" s="197" t="s">
        <v>175</v>
      </c>
      <c r="P209" s="197" t="str">
        <f t="shared" si="99"/>
        <v>Taxa de difusão em X anos: XX%</v>
      </c>
      <c r="Q209" s="202">
        <f>'Market Share'!D47</f>
        <v>0</v>
      </c>
      <c r="R209" s="203">
        <f ca="1">Resumo!H63</f>
        <v>0</v>
      </c>
      <c r="S209" s="204">
        <f ca="1">Resumo!H79</f>
        <v>0</v>
      </c>
    </row>
    <row r="210" spans="1:19" x14ac:dyDescent="0.3">
      <c r="A210" s="198" t="str">
        <f>IF(AND(VALUE(RIGHT(O210,2))&lt;=controle_formulario!$E$16,H210&lt;=Criterios!$C$31+controle_formulario!$I$16-1),"SIM","NÃO")</f>
        <v>NÃO</v>
      </c>
      <c r="B210" s="198">
        <f t="shared" si="93"/>
        <v>0</v>
      </c>
      <c r="C210" s="198" t="str">
        <f t="shared" si="94"/>
        <v>Formrol</v>
      </c>
      <c r="D210" s="179"/>
      <c r="E210" s="198" t="str">
        <f t="shared" si="95"/>
        <v>Planilha 1</v>
      </c>
      <c r="F210" s="198" t="str">
        <f t="shared" si="96"/>
        <v>Geral</v>
      </c>
      <c r="G210" s="198" t="s">
        <v>26</v>
      </c>
      <c r="H210" s="199">
        <f t="shared" si="100"/>
        <v>2034</v>
      </c>
      <c r="I210" s="200">
        <f t="shared" si="100"/>
        <v>0</v>
      </c>
      <c r="J210" s="200" t="str">
        <f>IF(controle_formulario!$C$39=1,controle_formulario!$C$37,controle_formulario!$C$38)</f>
        <v>Epidemiologico Beneficiarios Saude Suplementar</v>
      </c>
      <c r="K210" s="197" t="s">
        <v>157</v>
      </c>
      <c r="L210" s="197" t="str">
        <f t="shared" si="98"/>
        <v>Pirtobrutinibe</v>
      </c>
      <c r="M210" s="201">
        <f t="shared" si="101"/>
        <v>470468.67999999976</v>
      </c>
      <c r="N210" s="201">
        <f t="shared" si="101"/>
        <v>0</v>
      </c>
      <c r="O210" s="197" t="s">
        <v>175</v>
      </c>
      <c r="P210" s="197" t="str">
        <f t="shared" si="99"/>
        <v>Taxa de difusão em X anos: XX%</v>
      </c>
      <c r="Q210" s="202">
        <f>'Market Share'!D48</f>
        <v>0</v>
      </c>
      <c r="R210" s="203">
        <f ca="1">Resumo!H64</f>
        <v>0</v>
      </c>
      <c r="S210" s="204">
        <f ca="1">Resumo!H80</f>
        <v>0</v>
      </c>
    </row>
    <row r="211" spans="1:19" ht="15" thickBot="1" x14ac:dyDescent="0.35">
      <c r="A211" s="205" t="str">
        <f>IF(AND(VALUE(RIGHT(O211,2))&lt;=controle_formulario!$E$16,H211&lt;=Criterios!$C$31+controle_formulario!$I$16-1),"SIM","NÃO")</f>
        <v>NÃO</v>
      </c>
      <c r="B211" s="205">
        <f t="shared" si="93"/>
        <v>0</v>
      </c>
      <c r="C211" s="205" t="str">
        <f t="shared" si="94"/>
        <v>Formrol</v>
      </c>
      <c r="D211" s="180"/>
      <c r="E211" s="205" t="str">
        <f t="shared" si="95"/>
        <v>Planilha 1</v>
      </c>
      <c r="F211" s="205" t="str">
        <f t="shared" si="96"/>
        <v>Geral</v>
      </c>
      <c r="G211" s="205" t="s">
        <v>27</v>
      </c>
      <c r="H211" s="212">
        <f t="shared" si="100"/>
        <v>2035</v>
      </c>
      <c r="I211" s="213">
        <f t="shared" si="100"/>
        <v>0</v>
      </c>
      <c r="J211" s="207" t="str">
        <f>IF(controle_formulario!$C$39=1,controle_formulario!$C$37,controle_formulario!$C$38)</f>
        <v>Epidemiologico Beneficiarios Saude Suplementar</v>
      </c>
      <c r="K211" s="208" t="s">
        <v>157</v>
      </c>
      <c r="L211" s="208" t="str">
        <f t="shared" si="98"/>
        <v>Pirtobrutinibe</v>
      </c>
      <c r="M211" s="201">
        <f t="shared" si="101"/>
        <v>470468.67999999976</v>
      </c>
      <c r="N211" s="201">
        <f t="shared" si="101"/>
        <v>0</v>
      </c>
      <c r="O211" s="214" t="s">
        <v>175</v>
      </c>
      <c r="P211" s="214" t="str">
        <f t="shared" si="99"/>
        <v>Taxa de difusão em X anos: XX%</v>
      </c>
      <c r="Q211" s="209">
        <f>'Market Share'!D49</f>
        <v>0</v>
      </c>
      <c r="R211" s="216">
        <f ca="1">Resumo!H65</f>
        <v>0</v>
      </c>
      <c r="S211" s="217">
        <f ca="1">Resumo!H81</f>
        <v>0</v>
      </c>
    </row>
    <row r="212" spans="1:19" x14ac:dyDescent="0.3">
      <c r="A212" s="189" t="str">
        <f>IF(AND(VALUE(RIGHT(O212,2))&lt;=controle_formulario!$E$16,VALUE(RIGHT(K212,2))&lt;=controle_formulario!$C$10,H212&lt;=Criterios!$C$31+controle_formulario!$I$16-1),"SIM","NÃO")</f>
        <v>NÃO</v>
      </c>
      <c r="B212" s="189">
        <f t="shared" si="93"/>
        <v>0</v>
      </c>
      <c r="C212" s="189" t="str">
        <f t="shared" si="94"/>
        <v>Formrol</v>
      </c>
      <c r="D212" s="177"/>
      <c r="E212" s="189" t="str">
        <f t="shared" si="95"/>
        <v>Planilha 1</v>
      </c>
      <c r="F212" s="189" t="str">
        <f t="shared" si="96"/>
        <v>Geral</v>
      </c>
      <c r="G212" s="189" t="s">
        <v>18</v>
      </c>
      <c r="H212" s="190">
        <f>H202</f>
        <v>2026</v>
      </c>
      <c r="I212" s="191">
        <f ca="1">I202</f>
        <v>35.902021176061034</v>
      </c>
      <c r="J212" s="191" t="str">
        <f>IF(controle_formulario!$C$39=1,controle_formulario!$C$37,controle_formulario!$C$38)</f>
        <v>Epidemiologico Beneficiarios Saude Suplementar</v>
      </c>
      <c r="K212" s="192" t="s">
        <v>168</v>
      </c>
      <c r="L212" s="192" t="str">
        <f t="shared" ref="L212:L221" si="102">trat.a</f>
        <v xml:space="preserve"> Conjunto de Tratamentos-Padrão</v>
      </c>
      <c r="M212" s="193" t="e">
        <f>Resumo!$D$39</f>
        <v>#REF!</v>
      </c>
      <c r="N212" s="193">
        <f>Resumo!$D$48</f>
        <v>0</v>
      </c>
      <c r="O212" s="192" t="s">
        <v>175</v>
      </c>
      <c r="P212" s="192" t="str">
        <f t="shared" si="99"/>
        <v>Taxa de difusão em X anos: XX%</v>
      </c>
      <c r="Q212" s="194">
        <f>'Market Share'!E40</f>
        <v>0</v>
      </c>
      <c r="R212" s="195">
        <f ca="1">R202</f>
        <v>0</v>
      </c>
      <c r="S212" s="196">
        <f ca="1">S202</f>
        <v>-4110544.4385289042</v>
      </c>
    </row>
    <row r="213" spans="1:19" x14ac:dyDescent="0.3">
      <c r="A213" s="198" t="str">
        <f>IF(AND(VALUE(RIGHT(O213,2))&lt;=controle_formulario!$E$16,VALUE(RIGHT(K213,2))&lt;=controle_formulario!$C$10,H213&lt;=Criterios!$C$31+controle_formulario!$I$16-1),"SIM","NÃO")</f>
        <v>NÃO</v>
      </c>
      <c r="B213" s="198">
        <f t="shared" si="93"/>
        <v>0</v>
      </c>
      <c r="C213" s="198" t="str">
        <f t="shared" si="94"/>
        <v>Formrol</v>
      </c>
      <c r="D213" s="179"/>
      <c r="E213" s="198" t="str">
        <f t="shared" si="95"/>
        <v>Planilha 1</v>
      </c>
      <c r="F213" s="198" t="str">
        <f t="shared" si="96"/>
        <v>Geral</v>
      </c>
      <c r="G213" s="198" t="s">
        <v>19</v>
      </c>
      <c r="H213" s="199">
        <f t="shared" ref="H213:I221" si="103">H203</f>
        <v>2027</v>
      </c>
      <c r="I213" s="200">
        <f t="shared" ca="1" si="103"/>
        <v>36.027114594978322</v>
      </c>
      <c r="J213" s="200" t="str">
        <f>IF(controle_formulario!$C$39=1,controle_formulario!$C$37,controle_formulario!$C$38)</f>
        <v>Epidemiologico Beneficiarios Saude Suplementar</v>
      </c>
      <c r="K213" s="197" t="s">
        <v>168</v>
      </c>
      <c r="L213" s="197" t="str">
        <f t="shared" si="102"/>
        <v xml:space="preserve"> Conjunto de Tratamentos-Padrão</v>
      </c>
      <c r="M213" s="201" t="e">
        <f>M212</f>
        <v>#REF!</v>
      </c>
      <c r="N213" s="201">
        <f>N212</f>
        <v>0</v>
      </c>
      <c r="O213" s="197" t="s">
        <v>175</v>
      </c>
      <c r="P213" s="197" t="str">
        <f t="shared" si="99"/>
        <v>Taxa de difusão em X anos: XX%</v>
      </c>
      <c r="Q213" s="202">
        <f>'Market Share'!E41</f>
        <v>0</v>
      </c>
      <c r="R213" s="203">
        <f t="shared" ref="R213:S221" ca="1" si="104">R203</f>
        <v>0</v>
      </c>
      <c r="S213" s="204">
        <f t="shared" ca="1" si="104"/>
        <v>-4124866.8092641174</v>
      </c>
    </row>
    <row r="214" spans="1:19" x14ac:dyDescent="0.3">
      <c r="A214" s="198" t="str">
        <f>IF(AND(VALUE(RIGHT(O214,2))&lt;=controle_formulario!$E$16,VALUE(RIGHT(K214,2))&lt;=controle_formulario!$C$10,H214&lt;=Criterios!$C$31+controle_formulario!$I$16-1),"SIM","NÃO")</f>
        <v>NÃO</v>
      </c>
      <c r="B214" s="198">
        <f t="shared" si="93"/>
        <v>0</v>
      </c>
      <c r="C214" s="198" t="str">
        <f t="shared" si="94"/>
        <v>Formrol</v>
      </c>
      <c r="D214" s="179"/>
      <c r="E214" s="198" t="str">
        <f t="shared" si="95"/>
        <v>Planilha 1</v>
      </c>
      <c r="F214" s="198" t="str">
        <f t="shared" si="96"/>
        <v>Geral</v>
      </c>
      <c r="G214" s="198" t="s">
        <v>20</v>
      </c>
      <c r="H214" s="199">
        <f t="shared" si="103"/>
        <v>2028</v>
      </c>
      <c r="I214" s="200">
        <f t="shared" ca="1" si="103"/>
        <v>36.142742272880319</v>
      </c>
      <c r="J214" s="200" t="str">
        <f>IF(controle_formulario!$C$39=1,controle_formulario!$C$37,controle_formulario!$C$38)</f>
        <v>Epidemiologico Beneficiarios Saude Suplementar</v>
      </c>
      <c r="K214" s="197" t="s">
        <v>168</v>
      </c>
      <c r="L214" s="197" t="str">
        <f t="shared" si="102"/>
        <v xml:space="preserve"> Conjunto de Tratamentos-Padrão</v>
      </c>
      <c r="M214" s="201" t="e">
        <f t="shared" ref="M214:N221" si="105">M213</f>
        <v>#REF!</v>
      </c>
      <c r="N214" s="201">
        <f t="shared" si="105"/>
        <v>0</v>
      </c>
      <c r="O214" s="197" t="s">
        <v>175</v>
      </c>
      <c r="P214" s="197" t="str">
        <f t="shared" si="99"/>
        <v>Taxa de difusão em X anos: XX%</v>
      </c>
      <c r="Q214" s="202">
        <f>'Market Share'!E42</f>
        <v>0</v>
      </c>
      <c r="R214" s="203">
        <f t="shared" ca="1" si="104"/>
        <v>0</v>
      </c>
      <c r="S214" s="204">
        <f t="shared" ca="1" si="104"/>
        <v>-4138105.4151356164</v>
      </c>
    </row>
    <row r="215" spans="1:19" x14ac:dyDescent="0.3">
      <c r="A215" s="198" t="str">
        <f>IF(AND(VALUE(RIGHT(O215,2))&lt;=controle_formulario!$E$16,VALUE(RIGHT(K215,2))&lt;=controle_formulario!$C$10,H215&lt;=Criterios!$C$31+controle_formulario!$I$16-1),"SIM","NÃO")</f>
        <v>NÃO</v>
      </c>
      <c r="B215" s="198">
        <f t="shared" si="93"/>
        <v>0</v>
      </c>
      <c r="C215" s="198" t="str">
        <f t="shared" si="94"/>
        <v>Formrol</v>
      </c>
      <c r="D215" s="179"/>
      <c r="E215" s="198" t="str">
        <f t="shared" si="95"/>
        <v>Planilha 1</v>
      </c>
      <c r="F215" s="198" t="str">
        <f t="shared" si="96"/>
        <v>Geral</v>
      </c>
      <c r="G215" s="198" t="s">
        <v>21</v>
      </c>
      <c r="H215" s="199">
        <f t="shared" si="103"/>
        <v>2029</v>
      </c>
      <c r="I215" s="200">
        <f t="shared" ca="1" si="103"/>
        <v>36.250027878529522</v>
      </c>
      <c r="J215" s="200" t="str">
        <f>IF(controle_formulario!$C$39=1,controle_formulario!$C$37,controle_formulario!$C$38)</f>
        <v>Epidemiologico Beneficiarios Saude Suplementar</v>
      </c>
      <c r="K215" s="197" t="s">
        <v>168</v>
      </c>
      <c r="L215" s="197" t="str">
        <f t="shared" si="102"/>
        <v xml:space="preserve"> Conjunto de Tratamentos-Padrão</v>
      </c>
      <c r="M215" s="201" t="e">
        <f t="shared" si="105"/>
        <v>#REF!</v>
      </c>
      <c r="N215" s="201">
        <f t="shared" si="105"/>
        <v>0</v>
      </c>
      <c r="O215" s="197" t="s">
        <v>175</v>
      </c>
      <c r="P215" s="197" t="str">
        <f t="shared" si="99"/>
        <v>Taxa de difusão em X anos: XX%</v>
      </c>
      <c r="Q215" s="202">
        <f>'Market Share'!E43</f>
        <v>0</v>
      </c>
      <c r="R215" s="203">
        <f t="shared" ca="1" si="104"/>
        <v>0</v>
      </c>
      <c r="S215" s="204">
        <f t="shared" ca="1" si="104"/>
        <v>-4150388.9087994657</v>
      </c>
    </row>
    <row r="216" spans="1:19" x14ac:dyDescent="0.3">
      <c r="A216" s="198" t="str">
        <f>IF(AND(VALUE(RIGHT(O216,2))&lt;=controle_formulario!$E$16,VALUE(RIGHT(K216,2))&lt;=controle_formulario!$C$10,H216&lt;=Criterios!$C$31+controle_formulario!$I$16-1),"SIM","NÃO")</f>
        <v>NÃO</v>
      </c>
      <c r="B216" s="198">
        <f t="shared" si="93"/>
        <v>0</v>
      </c>
      <c r="C216" s="198" t="str">
        <f t="shared" si="94"/>
        <v>Formrol</v>
      </c>
      <c r="D216" s="179"/>
      <c r="E216" s="198" t="str">
        <f t="shared" si="95"/>
        <v>Planilha 1</v>
      </c>
      <c r="F216" s="198" t="str">
        <f t="shared" si="96"/>
        <v>Geral</v>
      </c>
      <c r="G216" s="198" t="s">
        <v>22</v>
      </c>
      <c r="H216" s="199">
        <f t="shared" si="103"/>
        <v>2030</v>
      </c>
      <c r="I216" s="200">
        <f t="shared" ca="1" si="103"/>
        <v>36.350592396534239</v>
      </c>
      <c r="J216" s="200" t="str">
        <f>IF(controle_formulario!$C$39=1,controle_formulario!$C$37,controle_formulario!$C$38)</f>
        <v>Epidemiologico Beneficiarios Saude Suplementar</v>
      </c>
      <c r="K216" s="197" t="s">
        <v>168</v>
      </c>
      <c r="L216" s="197" t="str">
        <f t="shared" si="102"/>
        <v xml:space="preserve"> Conjunto de Tratamentos-Padrão</v>
      </c>
      <c r="M216" s="201" t="e">
        <f t="shared" si="105"/>
        <v>#REF!</v>
      </c>
      <c r="N216" s="201">
        <f t="shared" si="105"/>
        <v>0</v>
      </c>
      <c r="O216" s="197" t="s">
        <v>175</v>
      </c>
      <c r="P216" s="197" t="str">
        <f t="shared" si="99"/>
        <v>Taxa de difusão em X anos: XX%</v>
      </c>
      <c r="Q216" s="202">
        <f>'Market Share'!E44</f>
        <v>0</v>
      </c>
      <c r="R216" s="203">
        <f t="shared" ca="1" si="104"/>
        <v>0</v>
      </c>
      <c r="S216" s="204">
        <f t="shared" ca="1" si="104"/>
        <v>-4161902.8822933384</v>
      </c>
    </row>
    <row r="217" spans="1:19" x14ac:dyDescent="0.3">
      <c r="A217" s="198" t="str">
        <f>IF(AND(VALUE(RIGHT(O217,2))&lt;=controle_formulario!$E$16,VALUE(RIGHT(K217,2))&lt;=controle_formulario!$C$10,H217&lt;=Criterios!$C$31+controle_formulario!$I$16-1),"SIM","NÃO")</f>
        <v>NÃO</v>
      </c>
      <c r="B217" s="198">
        <f t="shared" si="93"/>
        <v>0</v>
      </c>
      <c r="C217" s="198" t="str">
        <f t="shared" si="94"/>
        <v>Formrol</v>
      </c>
      <c r="D217" s="179"/>
      <c r="E217" s="198" t="str">
        <f t="shared" si="95"/>
        <v>Planilha 1</v>
      </c>
      <c r="F217" s="198" t="str">
        <f t="shared" si="96"/>
        <v>Geral</v>
      </c>
      <c r="G217" s="198" t="s">
        <v>23</v>
      </c>
      <c r="H217" s="199">
        <f t="shared" si="103"/>
        <v>2031</v>
      </c>
      <c r="I217" s="200">
        <f t="shared" si="103"/>
        <v>0</v>
      </c>
      <c r="J217" s="200" t="str">
        <f>IF(controle_formulario!$C$39=1,controle_formulario!$C$37,controle_formulario!$C$38)</f>
        <v>Epidemiologico Beneficiarios Saude Suplementar</v>
      </c>
      <c r="K217" s="197" t="s">
        <v>168</v>
      </c>
      <c r="L217" s="197" t="str">
        <f t="shared" si="102"/>
        <v xml:space="preserve"> Conjunto de Tratamentos-Padrão</v>
      </c>
      <c r="M217" s="201" t="e">
        <f t="shared" si="105"/>
        <v>#REF!</v>
      </c>
      <c r="N217" s="201">
        <f t="shared" si="105"/>
        <v>0</v>
      </c>
      <c r="O217" s="197" t="s">
        <v>175</v>
      </c>
      <c r="P217" s="197" t="str">
        <f t="shared" si="99"/>
        <v>Taxa de difusão em X anos: XX%</v>
      </c>
      <c r="Q217" s="202">
        <f>'Market Share'!E45</f>
        <v>0</v>
      </c>
      <c r="R217" s="203">
        <f t="shared" ca="1" si="104"/>
        <v>0</v>
      </c>
      <c r="S217" s="204">
        <f t="shared" ca="1" si="104"/>
        <v>0</v>
      </c>
    </row>
    <row r="218" spans="1:19" x14ac:dyDescent="0.3">
      <c r="A218" s="198" t="str">
        <f>IF(AND(VALUE(RIGHT(O218,2))&lt;=controle_formulario!$E$16,VALUE(RIGHT(K218,2))&lt;=controle_formulario!$C$10,H218&lt;=Criterios!$C$31+controle_formulario!$I$16-1),"SIM","NÃO")</f>
        <v>NÃO</v>
      </c>
      <c r="B218" s="198">
        <f t="shared" si="93"/>
        <v>0</v>
      </c>
      <c r="C218" s="198" t="str">
        <f t="shared" si="94"/>
        <v>Formrol</v>
      </c>
      <c r="D218" s="179"/>
      <c r="E218" s="198" t="str">
        <f t="shared" si="95"/>
        <v>Planilha 1</v>
      </c>
      <c r="F218" s="198" t="str">
        <f t="shared" si="96"/>
        <v>Geral</v>
      </c>
      <c r="G218" s="198" t="s">
        <v>24</v>
      </c>
      <c r="H218" s="199">
        <f t="shared" si="103"/>
        <v>2032</v>
      </c>
      <c r="I218" s="200">
        <f t="shared" si="103"/>
        <v>0</v>
      </c>
      <c r="J218" s="200" t="str">
        <f>IF(controle_formulario!$C$39=1,controle_formulario!$C$37,controle_formulario!$C$38)</f>
        <v>Epidemiologico Beneficiarios Saude Suplementar</v>
      </c>
      <c r="K218" s="197" t="s">
        <v>168</v>
      </c>
      <c r="L218" s="197" t="str">
        <f t="shared" si="102"/>
        <v xml:space="preserve"> Conjunto de Tratamentos-Padrão</v>
      </c>
      <c r="M218" s="201" t="e">
        <f t="shared" si="105"/>
        <v>#REF!</v>
      </c>
      <c r="N218" s="201">
        <f t="shared" si="105"/>
        <v>0</v>
      </c>
      <c r="O218" s="197" t="s">
        <v>175</v>
      </c>
      <c r="P218" s="197" t="str">
        <f t="shared" si="99"/>
        <v>Taxa de difusão em X anos: XX%</v>
      </c>
      <c r="Q218" s="202">
        <f>'Market Share'!E46</f>
        <v>0</v>
      </c>
      <c r="R218" s="203">
        <f t="shared" ca="1" si="104"/>
        <v>0</v>
      </c>
      <c r="S218" s="204">
        <f t="shared" ca="1" si="104"/>
        <v>0</v>
      </c>
    </row>
    <row r="219" spans="1:19" x14ac:dyDescent="0.3">
      <c r="A219" s="198" t="str">
        <f>IF(AND(VALUE(RIGHT(O219,2))&lt;=controle_formulario!$E$16,VALUE(RIGHT(K219,2))&lt;=controle_formulario!$C$10,H219&lt;=Criterios!$C$31+controle_formulario!$I$16-1),"SIM","NÃO")</f>
        <v>NÃO</v>
      </c>
      <c r="B219" s="198">
        <f t="shared" si="93"/>
        <v>0</v>
      </c>
      <c r="C219" s="198" t="str">
        <f t="shared" si="94"/>
        <v>Formrol</v>
      </c>
      <c r="D219" s="179"/>
      <c r="E219" s="198" t="str">
        <f t="shared" si="95"/>
        <v>Planilha 1</v>
      </c>
      <c r="F219" s="198" t="str">
        <f t="shared" si="96"/>
        <v>Geral</v>
      </c>
      <c r="G219" s="198" t="s">
        <v>25</v>
      </c>
      <c r="H219" s="199">
        <f t="shared" si="103"/>
        <v>2033</v>
      </c>
      <c r="I219" s="200">
        <f t="shared" si="103"/>
        <v>0</v>
      </c>
      <c r="J219" s="200" t="str">
        <f>IF(controle_formulario!$C$39=1,controle_formulario!$C$37,controle_formulario!$C$38)</f>
        <v>Epidemiologico Beneficiarios Saude Suplementar</v>
      </c>
      <c r="K219" s="197" t="s">
        <v>168</v>
      </c>
      <c r="L219" s="197" t="str">
        <f t="shared" si="102"/>
        <v xml:space="preserve"> Conjunto de Tratamentos-Padrão</v>
      </c>
      <c r="M219" s="201" t="e">
        <f t="shared" si="105"/>
        <v>#REF!</v>
      </c>
      <c r="N219" s="201">
        <f t="shared" si="105"/>
        <v>0</v>
      </c>
      <c r="O219" s="197" t="s">
        <v>175</v>
      </c>
      <c r="P219" s="197" t="str">
        <f t="shared" si="99"/>
        <v>Taxa de difusão em X anos: XX%</v>
      </c>
      <c r="Q219" s="202">
        <f>'Market Share'!E47</f>
        <v>0</v>
      </c>
      <c r="R219" s="203">
        <f t="shared" ca="1" si="104"/>
        <v>0</v>
      </c>
      <c r="S219" s="204">
        <f t="shared" ca="1" si="104"/>
        <v>0</v>
      </c>
    </row>
    <row r="220" spans="1:19" x14ac:dyDescent="0.3">
      <c r="A220" s="198" t="str">
        <f>IF(AND(VALUE(RIGHT(O220,2))&lt;=controle_formulario!$E$16,VALUE(RIGHT(K220,2))&lt;=controle_formulario!$C$10,H220&lt;=Criterios!$C$31+controle_formulario!$I$16-1),"SIM","NÃO")</f>
        <v>NÃO</v>
      </c>
      <c r="B220" s="198">
        <f t="shared" si="93"/>
        <v>0</v>
      </c>
      <c r="C220" s="198" t="str">
        <f t="shared" si="94"/>
        <v>Formrol</v>
      </c>
      <c r="D220" s="179"/>
      <c r="E220" s="198" t="str">
        <f t="shared" si="95"/>
        <v>Planilha 1</v>
      </c>
      <c r="F220" s="198" t="str">
        <f t="shared" si="96"/>
        <v>Geral</v>
      </c>
      <c r="G220" s="198" t="s">
        <v>26</v>
      </c>
      <c r="H220" s="199">
        <f t="shared" si="103"/>
        <v>2034</v>
      </c>
      <c r="I220" s="200">
        <f t="shared" si="103"/>
        <v>0</v>
      </c>
      <c r="J220" s="200" t="str">
        <f>IF(controle_formulario!$C$39=1,controle_formulario!$C$37,controle_formulario!$C$38)</f>
        <v>Epidemiologico Beneficiarios Saude Suplementar</v>
      </c>
      <c r="K220" s="197" t="s">
        <v>168</v>
      </c>
      <c r="L220" s="197" t="str">
        <f t="shared" si="102"/>
        <v xml:space="preserve"> Conjunto de Tratamentos-Padrão</v>
      </c>
      <c r="M220" s="201" t="e">
        <f t="shared" si="105"/>
        <v>#REF!</v>
      </c>
      <c r="N220" s="201">
        <f t="shared" si="105"/>
        <v>0</v>
      </c>
      <c r="O220" s="197" t="s">
        <v>175</v>
      </c>
      <c r="P220" s="197" t="str">
        <f t="shared" si="99"/>
        <v>Taxa de difusão em X anos: XX%</v>
      </c>
      <c r="Q220" s="202">
        <f>'Market Share'!E48</f>
        <v>0</v>
      </c>
      <c r="R220" s="203">
        <f t="shared" ca="1" si="104"/>
        <v>0</v>
      </c>
      <c r="S220" s="204">
        <f t="shared" ca="1" si="104"/>
        <v>0</v>
      </c>
    </row>
    <row r="221" spans="1:19" ht="15" thickBot="1" x14ac:dyDescent="0.35">
      <c r="A221" s="205" t="str">
        <f>IF(AND(VALUE(RIGHT(O221,2))&lt;=controle_formulario!$E$16,VALUE(RIGHT(K221,2))&lt;=controle_formulario!$C$10,H221&lt;=Criterios!$C$31+controle_formulario!$I$16-1),"SIM","NÃO")</f>
        <v>NÃO</v>
      </c>
      <c r="B221" s="205">
        <f t="shared" si="93"/>
        <v>0</v>
      </c>
      <c r="C221" s="205" t="str">
        <f t="shared" si="94"/>
        <v>Formrol</v>
      </c>
      <c r="D221" s="180"/>
      <c r="E221" s="205" t="str">
        <f t="shared" si="95"/>
        <v>Planilha 1</v>
      </c>
      <c r="F221" s="205" t="str">
        <f t="shared" si="96"/>
        <v>Geral</v>
      </c>
      <c r="G221" s="205" t="s">
        <v>27</v>
      </c>
      <c r="H221" s="212">
        <f t="shared" si="103"/>
        <v>2035</v>
      </c>
      <c r="I221" s="213">
        <f t="shared" si="103"/>
        <v>0</v>
      </c>
      <c r="J221" s="207" t="str">
        <f>IF(controle_formulario!$C$39=1,controle_formulario!$C$37,controle_formulario!$C$38)</f>
        <v>Epidemiologico Beneficiarios Saude Suplementar</v>
      </c>
      <c r="K221" s="208" t="s">
        <v>168</v>
      </c>
      <c r="L221" s="208" t="str">
        <f t="shared" si="102"/>
        <v xml:space="preserve"> Conjunto de Tratamentos-Padrão</v>
      </c>
      <c r="M221" s="201" t="e">
        <f t="shared" si="105"/>
        <v>#REF!</v>
      </c>
      <c r="N221" s="201">
        <f t="shared" si="105"/>
        <v>0</v>
      </c>
      <c r="O221" s="214" t="s">
        <v>175</v>
      </c>
      <c r="P221" s="214" t="str">
        <f t="shared" si="99"/>
        <v>Taxa de difusão em X anos: XX%</v>
      </c>
      <c r="Q221" s="209">
        <f>'Market Share'!E49</f>
        <v>0</v>
      </c>
      <c r="R221" s="216">
        <f t="shared" ca="1" si="104"/>
        <v>0</v>
      </c>
      <c r="S221" s="217">
        <f t="shared" ca="1" si="104"/>
        <v>0</v>
      </c>
    </row>
    <row r="222" spans="1:19" x14ac:dyDescent="0.3">
      <c r="A222" s="189" t="str">
        <f>IF(AND(VALUE(RIGHT(O222,2))&lt;=controle_formulario!$E$16,VALUE(RIGHT(K222,2))&lt;=controle_formulario!$C$10,H222&lt;=Criterios!$C$31+controle_formulario!$I$16-1),"SIM","NÃO")</f>
        <v>NÃO</v>
      </c>
      <c r="B222" s="189">
        <f t="shared" si="93"/>
        <v>0</v>
      </c>
      <c r="C222" s="189" t="str">
        <f t="shared" si="94"/>
        <v>Formrol</v>
      </c>
      <c r="D222" s="177"/>
      <c r="E222" s="189" t="str">
        <f t="shared" si="95"/>
        <v>Planilha 1</v>
      </c>
      <c r="F222" s="189" t="str">
        <f t="shared" si="96"/>
        <v>Geral</v>
      </c>
      <c r="G222" s="189" t="s">
        <v>18</v>
      </c>
      <c r="H222" s="190">
        <f>H212</f>
        <v>2026</v>
      </c>
      <c r="I222" s="191">
        <f ca="1">I212</f>
        <v>35.902021176061034</v>
      </c>
      <c r="J222" s="191" t="str">
        <f>IF(controle_formulario!$C$39=1,controle_formulario!$C$37,controle_formulario!$C$38)</f>
        <v>Epidemiologico Beneficiarios Saude Suplementar</v>
      </c>
      <c r="K222" s="192" t="s">
        <v>169</v>
      </c>
      <c r="L222" s="192">
        <f t="shared" ref="L222:L231" si="106">trat.b</f>
        <v>0</v>
      </c>
      <c r="M222" s="193">
        <f>Resumo!$D$40</f>
        <v>0</v>
      </c>
      <c r="N222" s="193">
        <f>Resumo!$D$49</f>
        <v>0</v>
      </c>
      <c r="O222" s="192" t="s">
        <v>175</v>
      </c>
      <c r="P222" s="192" t="str">
        <f t="shared" si="99"/>
        <v>Taxa de difusão em X anos: XX%</v>
      </c>
      <c r="Q222" s="194">
        <f>'Market Share'!F40</f>
        <v>0</v>
      </c>
      <c r="R222" s="195">
        <f ca="1">R212</f>
        <v>0</v>
      </c>
      <c r="S222" s="196">
        <f ca="1">S212</f>
        <v>-4110544.4385289042</v>
      </c>
    </row>
    <row r="223" spans="1:19" x14ac:dyDescent="0.3">
      <c r="A223" s="198" t="str">
        <f>IF(AND(VALUE(RIGHT(O223,2))&lt;=controle_formulario!$E$16,VALUE(RIGHT(K223,2))&lt;=controle_formulario!$C$10,H223&lt;=Criterios!$C$31+controle_formulario!$I$16-1),"SIM","NÃO")</f>
        <v>NÃO</v>
      </c>
      <c r="B223" s="198">
        <f t="shared" si="93"/>
        <v>0</v>
      </c>
      <c r="C223" s="198" t="str">
        <f t="shared" si="94"/>
        <v>Formrol</v>
      </c>
      <c r="D223" s="179"/>
      <c r="E223" s="198" t="str">
        <f t="shared" si="95"/>
        <v>Planilha 1</v>
      </c>
      <c r="F223" s="198" t="str">
        <f t="shared" si="96"/>
        <v>Geral</v>
      </c>
      <c r="G223" s="198" t="s">
        <v>19</v>
      </c>
      <c r="H223" s="199">
        <f t="shared" ref="H223:I231" si="107">H213</f>
        <v>2027</v>
      </c>
      <c r="I223" s="200">
        <f t="shared" ca="1" si="107"/>
        <v>36.027114594978322</v>
      </c>
      <c r="J223" s="200" t="str">
        <f>IF(controle_formulario!$C$39=1,controle_formulario!$C$37,controle_formulario!$C$38)</f>
        <v>Epidemiologico Beneficiarios Saude Suplementar</v>
      </c>
      <c r="K223" s="197" t="s">
        <v>169</v>
      </c>
      <c r="L223" s="197">
        <f t="shared" si="106"/>
        <v>0</v>
      </c>
      <c r="M223" s="201">
        <f>M222</f>
        <v>0</v>
      </c>
      <c r="N223" s="201">
        <f>N222</f>
        <v>0</v>
      </c>
      <c r="O223" s="197" t="s">
        <v>175</v>
      </c>
      <c r="P223" s="197" t="str">
        <f t="shared" si="99"/>
        <v>Taxa de difusão em X anos: XX%</v>
      </c>
      <c r="Q223" s="202">
        <f>'Market Share'!F41</f>
        <v>0</v>
      </c>
      <c r="R223" s="203">
        <f t="shared" ref="R223:S231" ca="1" si="108">R213</f>
        <v>0</v>
      </c>
      <c r="S223" s="204">
        <f t="shared" ca="1" si="108"/>
        <v>-4124866.8092641174</v>
      </c>
    </row>
    <row r="224" spans="1:19" x14ac:dyDescent="0.3">
      <c r="A224" s="198" t="str">
        <f>IF(AND(VALUE(RIGHT(O224,2))&lt;=controle_formulario!$E$16,VALUE(RIGHT(K224,2))&lt;=controle_formulario!$C$10,H224&lt;=Criterios!$C$31+controle_formulario!$I$16-1),"SIM","NÃO")</f>
        <v>NÃO</v>
      </c>
      <c r="B224" s="198">
        <f t="shared" si="93"/>
        <v>0</v>
      </c>
      <c r="C224" s="198" t="str">
        <f t="shared" si="94"/>
        <v>Formrol</v>
      </c>
      <c r="D224" s="179"/>
      <c r="E224" s="198" t="str">
        <f t="shared" si="95"/>
        <v>Planilha 1</v>
      </c>
      <c r="F224" s="198" t="str">
        <f t="shared" si="96"/>
        <v>Geral</v>
      </c>
      <c r="G224" s="198" t="s">
        <v>20</v>
      </c>
      <c r="H224" s="199">
        <f t="shared" si="107"/>
        <v>2028</v>
      </c>
      <c r="I224" s="200">
        <f t="shared" ca="1" si="107"/>
        <v>36.142742272880319</v>
      </c>
      <c r="J224" s="200" t="str">
        <f>IF(controle_formulario!$C$39=1,controle_formulario!$C$37,controle_formulario!$C$38)</f>
        <v>Epidemiologico Beneficiarios Saude Suplementar</v>
      </c>
      <c r="K224" s="197" t="s">
        <v>169</v>
      </c>
      <c r="L224" s="197">
        <f t="shared" si="106"/>
        <v>0</v>
      </c>
      <c r="M224" s="201">
        <f t="shared" ref="M224:N231" si="109">M223</f>
        <v>0</v>
      </c>
      <c r="N224" s="201">
        <f t="shared" si="109"/>
        <v>0</v>
      </c>
      <c r="O224" s="197" t="s">
        <v>175</v>
      </c>
      <c r="P224" s="197" t="str">
        <f t="shared" si="99"/>
        <v>Taxa de difusão em X anos: XX%</v>
      </c>
      <c r="Q224" s="202">
        <f>'Market Share'!F42</f>
        <v>0</v>
      </c>
      <c r="R224" s="203">
        <f t="shared" ca="1" si="108"/>
        <v>0</v>
      </c>
      <c r="S224" s="204">
        <f t="shared" ca="1" si="108"/>
        <v>-4138105.4151356164</v>
      </c>
    </row>
    <row r="225" spans="1:19" x14ac:dyDescent="0.3">
      <c r="A225" s="198" t="str">
        <f>IF(AND(VALUE(RIGHT(O225,2))&lt;=controle_formulario!$E$16,VALUE(RIGHT(K225,2))&lt;=controle_formulario!$C$10,H225&lt;=Criterios!$C$31+controle_formulario!$I$16-1),"SIM","NÃO")</f>
        <v>NÃO</v>
      </c>
      <c r="B225" s="198">
        <f t="shared" si="93"/>
        <v>0</v>
      </c>
      <c r="C225" s="198" t="str">
        <f t="shared" si="94"/>
        <v>Formrol</v>
      </c>
      <c r="D225" s="179"/>
      <c r="E225" s="198" t="str">
        <f t="shared" si="95"/>
        <v>Planilha 1</v>
      </c>
      <c r="F225" s="198" t="str">
        <f t="shared" si="96"/>
        <v>Geral</v>
      </c>
      <c r="G225" s="198" t="s">
        <v>21</v>
      </c>
      <c r="H225" s="199">
        <f t="shared" si="107"/>
        <v>2029</v>
      </c>
      <c r="I225" s="200">
        <f t="shared" ca="1" si="107"/>
        <v>36.250027878529522</v>
      </c>
      <c r="J225" s="200" t="str">
        <f>IF(controle_formulario!$C$39=1,controle_formulario!$C$37,controle_formulario!$C$38)</f>
        <v>Epidemiologico Beneficiarios Saude Suplementar</v>
      </c>
      <c r="K225" s="197" t="s">
        <v>169</v>
      </c>
      <c r="L225" s="197">
        <f t="shared" si="106"/>
        <v>0</v>
      </c>
      <c r="M225" s="201">
        <f t="shared" si="109"/>
        <v>0</v>
      </c>
      <c r="N225" s="201">
        <f t="shared" si="109"/>
        <v>0</v>
      </c>
      <c r="O225" s="197" t="s">
        <v>175</v>
      </c>
      <c r="P225" s="197" t="str">
        <f t="shared" si="99"/>
        <v>Taxa de difusão em X anos: XX%</v>
      </c>
      <c r="Q225" s="202">
        <f>'Market Share'!F43</f>
        <v>0</v>
      </c>
      <c r="R225" s="203">
        <f t="shared" ca="1" si="108"/>
        <v>0</v>
      </c>
      <c r="S225" s="204">
        <f t="shared" ca="1" si="108"/>
        <v>-4150388.9087994657</v>
      </c>
    </row>
    <row r="226" spans="1:19" x14ac:dyDescent="0.3">
      <c r="A226" s="198" t="str">
        <f>IF(AND(VALUE(RIGHT(O226,2))&lt;=controle_formulario!$E$16,VALUE(RIGHT(K226,2))&lt;=controle_formulario!$C$10,H226&lt;=Criterios!$C$31+controle_formulario!$I$16-1),"SIM","NÃO")</f>
        <v>NÃO</v>
      </c>
      <c r="B226" s="198">
        <f t="shared" si="93"/>
        <v>0</v>
      </c>
      <c r="C226" s="198" t="str">
        <f t="shared" si="94"/>
        <v>Formrol</v>
      </c>
      <c r="D226" s="179"/>
      <c r="E226" s="198" t="str">
        <f t="shared" si="95"/>
        <v>Planilha 1</v>
      </c>
      <c r="F226" s="198" t="str">
        <f t="shared" si="96"/>
        <v>Geral</v>
      </c>
      <c r="G226" s="198" t="s">
        <v>22</v>
      </c>
      <c r="H226" s="199">
        <f t="shared" si="107"/>
        <v>2030</v>
      </c>
      <c r="I226" s="200">
        <f t="shared" ca="1" si="107"/>
        <v>36.350592396534239</v>
      </c>
      <c r="J226" s="200" t="str">
        <f>IF(controle_formulario!$C$39=1,controle_formulario!$C$37,controle_formulario!$C$38)</f>
        <v>Epidemiologico Beneficiarios Saude Suplementar</v>
      </c>
      <c r="K226" s="197" t="s">
        <v>169</v>
      </c>
      <c r="L226" s="197">
        <f t="shared" si="106"/>
        <v>0</v>
      </c>
      <c r="M226" s="201">
        <f t="shared" si="109"/>
        <v>0</v>
      </c>
      <c r="N226" s="201">
        <f t="shared" si="109"/>
        <v>0</v>
      </c>
      <c r="O226" s="197" t="s">
        <v>175</v>
      </c>
      <c r="P226" s="197" t="str">
        <f t="shared" si="99"/>
        <v>Taxa de difusão em X anos: XX%</v>
      </c>
      <c r="Q226" s="202">
        <f>'Market Share'!F44</f>
        <v>0</v>
      </c>
      <c r="R226" s="203">
        <f t="shared" ca="1" si="108"/>
        <v>0</v>
      </c>
      <c r="S226" s="204">
        <f t="shared" ca="1" si="108"/>
        <v>-4161902.8822933384</v>
      </c>
    </row>
    <row r="227" spans="1:19" x14ac:dyDescent="0.3">
      <c r="A227" s="198" t="str">
        <f>IF(AND(VALUE(RIGHT(O227,2))&lt;=controle_formulario!$E$16,VALUE(RIGHT(K227,2))&lt;=controle_formulario!$C$10,H227&lt;=Criterios!$C$31+controle_formulario!$I$16-1),"SIM","NÃO")</f>
        <v>NÃO</v>
      </c>
      <c r="B227" s="198">
        <f t="shared" si="93"/>
        <v>0</v>
      </c>
      <c r="C227" s="198" t="str">
        <f t="shared" si="94"/>
        <v>Formrol</v>
      </c>
      <c r="D227" s="179"/>
      <c r="E227" s="198" t="str">
        <f t="shared" si="95"/>
        <v>Planilha 1</v>
      </c>
      <c r="F227" s="198" t="str">
        <f t="shared" si="96"/>
        <v>Geral</v>
      </c>
      <c r="G227" s="198" t="s">
        <v>23</v>
      </c>
      <c r="H227" s="199">
        <f t="shared" si="107"/>
        <v>2031</v>
      </c>
      <c r="I227" s="200">
        <f t="shared" si="107"/>
        <v>0</v>
      </c>
      <c r="J227" s="200" t="str">
        <f>IF(controle_formulario!$C$39=1,controle_formulario!$C$37,controle_formulario!$C$38)</f>
        <v>Epidemiologico Beneficiarios Saude Suplementar</v>
      </c>
      <c r="K227" s="197" t="s">
        <v>169</v>
      </c>
      <c r="L227" s="197">
        <f t="shared" si="106"/>
        <v>0</v>
      </c>
      <c r="M227" s="201">
        <f t="shared" si="109"/>
        <v>0</v>
      </c>
      <c r="N227" s="201">
        <f t="shared" si="109"/>
        <v>0</v>
      </c>
      <c r="O227" s="197" t="s">
        <v>175</v>
      </c>
      <c r="P227" s="197" t="str">
        <f t="shared" si="99"/>
        <v>Taxa de difusão em X anos: XX%</v>
      </c>
      <c r="Q227" s="202">
        <f>'Market Share'!F45</f>
        <v>0</v>
      </c>
      <c r="R227" s="203">
        <f t="shared" ca="1" si="108"/>
        <v>0</v>
      </c>
      <c r="S227" s="204">
        <f t="shared" ca="1" si="108"/>
        <v>0</v>
      </c>
    </row>
    <row r="228" spans="1:19" x14ac:dyDescent="0.3">
      <c r="A228" s="198" t="str">
        <f>IF(AND(VALUE(RIGHT(O228,2))&lt;=controle_formulario!$E$16,VALUE(RIGHT(K228,2))&lt;=controle_formulario!$C$10,H228&lt;=Criterios!$C$31+controle_formulario!$I$16-1),"SIM","NÃO")</f>
        <v>NÃO</v>
      </c>
      <c r="B228" s="198">
        <f t="shared" si="93"/>
        <v>0</v>
      </c>
      <c r="C228" s="198" t="str">
        <f t="shared" si="94"/>
        <v>Formrol</v>
      </c>
      <c r="D228" s="179"/>
      <c r="E228" s="198" t="str">
        <f t="shared" si="95"/>
        <v>Planilha 1</v>
      </c>
      <c r="F228" s="198" t="str">
        <f t="shared" si="96"/>
        <v>Geral</v>
      </c>
      <c r="G228" s="198" t="s">
        <v>24</v>
      </c>
      <c r="H228" s="199">
        <f t="shared" si="107"/>
        <v>2032</v>
      </c>
      <c r="I228" s="200">
        <f t="shared" si="107"/>
        <v>0</v>
      </c>
      <c r="J228" s="200" t="str">
        <f>IF(controle_formulario!$C$39=1,controle_formulario!$C$37,controle_formulario!$C$38)</f>
        <v>Epidemiologico Beneficiarios Saude Suplementar</v>
      </c>
      <c r="K228" s="197" t="s">
        <v>169</v>
      </c>
      <c r="L228" s="197">
        <f t="shared" si="106"/>
        <v>0</v>
      </c>
      <c r="M228" s="201">
        <f t="shared" si="109"/>
        <v>0</v>
      </c>
      <c r="N228" s="201">
        <f t="shared" si="109"/>
        <v>0</v>
      </c>
      <c r="O228" s="197" t="s">
        <v>175</v>
      </c>
      <c r="P228" s="197" t="str">
        <f t="shared" si="99"/>
        <v>Taxa de difusão em X anos: XX%</v>
      </c>
      <c r="Q228" s="202">
        <f>'Market Share'!F46</f>
        <v>0</v>
      </c>
      <c r="R228" s="203">
        <f t="shared" ca="1" si="108"/>
        <v>0</v>
      </c>
      <c r="S228" s="204">
        <f t="shared" ca="1" si="108"/>
        <v>0</v>
      </c>
    </row>
    <row r="229" spans="1:19" x14ac:dyDescent="0.3">
      <c r="A229" s="198" t="str">
        <f>IF(AND(VALUE(RIGHT(O229,2))&lt;=controle_formulario!$E$16,VALUE(RIGHT(K229,2))&lt;=controle_formulario!$C$10,H229&lt;=Criterios!$C$31+controle_formulario!$I$16-1),"SIM","NÃO")</f>
        <v>NÃO</v>
      </c>
      <c r="B229" s="198">
        <f t="shared" si="93"/>
        <v>0</v>
      </c>
      <c r="C229" s="198" t="str">
        <f t="shared" si="94"/>
        <v>Formrol</v>
      </c>
      <c r="D229" s="179"/>
      <c r="E229" s="198" t="str">
        <f t="shared" si="95"/>
        <v>Planilha 1</v>
      </c>
      <c r="F229" s="198" t="str">
        <f t="shared" si="96"/>
        <v>Geral</v>
      </c>
      <c r="G229" s="198" t="s">
        <v>25</v>
      </c>
      <c r="H229" s="199">
        <f t="shared" si="107"/>
        <v>2033</v>
      </c>
      <c r="I229" s="200">
        <f t="shared" si="107"/>
        <v>0</v>
      </c>
      <c r="J229" s="200" t="str">
        <f>IF(controle_formulario!$C$39=1,controle_formulario!$C$37,controle_formulario!$C$38)</f>
        <v>Epidemiologico Beneficiarios Saude Suplementar</v>
      </c>
      <c r="K229" s="197" t="s">
        <v>169</v>
      </c>
      <c r="L229" s="197">
        <f t="shared" si="106"/>
        <v>0</v>
      </c>
      <c r="M229" s="201">
        <f t="shared" si="109"/>
        <v>0</v>
      </c>
      <c r="N229" s="201">
        <f t="shared" si="109"/>
        <v>0</v>
      </c>
      <c r="O229" s="197" t="s">
        <v>175</v>
      </c>
      <c r="P229" s="197" t="str">
        <f t="shared" si="99"/>
        <v>Taxa de difusão em X anos: XX%</v>
      </c>
      <c r="Q229" s="202">
        <f>'Market Share'!F47</f>
        <v>0</v>
      </c>
      <c r="R229" s="203">
        <f t="shared" ca="1" si="108"/>
        <v>0</v>
      </c>
      <c r="S229" s="204">
        <f t="shared" ca="1" si="108"/>
        <v>0</v>
      </c>
    </row>
    <row r="230" spans="1:19" x14ac:dyDescent="0.3">
      <c r="A230" s="198" t="str">
        <f>IF(AND(VALUE(RIGHT(O230,2))&lt;=controle_formulario!$E$16,VALUE(RIGHT(K230,2))&lt;=controle_formulario!$C$10,H230&lt;=Criterios!$C$31+controle_formulario!$I$16-1),"SIM","NÃO")</f>
        <v>NÃO</v>
      </c>
      <c r="B230" s="198">
        <f t="shared" si="93"/>
        <v>0</v>
      </c>
      <c r="C230" s="198" t="str">
        <f t="shared" si="94"/>
        <v>Formrol</v>
      </c>
      <c r="D230" s="179"/>
      <c r="E230" s="198" t="str">
        <f t="shared" si="95"/>
        <v>Planilha 1</v>
      </c>
      <c r="F230" s="198" t="str">
        <f t="shared" si="96"/>
        <v>Geral</v>
      </c>
      <c r="G230" s="198" t="s">
        <v>26</v>
      </c>
      <c r="H230" s="199">
        <f t="shared" si="107"/>
        <v>2034</v>
      </c>
      <c r="I230" s="200">
        <f t="shared" si="107"/>
        <v>0</v>
      </c>
      <c r="J230" s="200" t="str">
        <f>IF(controle_formulario!$C$39=1,controle_formulario!$C$37,controle_formulario!$C$38)</f>
        <v>Epidemiologico Beneficiarios Saude Suplementar</v>
      </c>
      <c r="K230" s="197" t="s">
        <v>169</v>
      </c>
      <c r="L230" s="197">
        <f t="shared" si="106"/>
        <v>0</v>
      </c>
      <c r="M230" s="201">
        <f t="shared" si="109"/>
        <v>0</v>
      </c>
      <c r="N230" s="201">
        <f t="shared" si="109"/>
        <v>0</v>
      </c>
      <c r="O230" s="197" t="s">
        <v>175</v>
      </c>
      <c r="P230" s="197" t="str">
        <f t="shared" si="99"/>
        <v>Taxa de difusão em X anos: XX%</v>
      </c>
      <c r="Q230" s="202">
        <f>'Market Share'!F48</f>
        <v>0</v>
      </c>
      <c r="R230" s="203">
        <f t="shared" ca="1" si="108"/>
        <v>0</v>
      </c>
      <c r="S230" s="204">
        <f t="shared" ca="1" si="108"/>
        <v>0</v>
      </c>
    </row>
    <row r="231" spans="1:19" ht="15" thickBot="1" x14ac:dyDescent="0.35">
      <c r="A231" s="205" t="str">
        <f>IF(AND(VALUE(RIGHT(O231,2))&lt;=controle_formulario!$E$16,VALUE(RIGHT(K231,2))&lt;=controle_formulario!$C$10,H231&lt;=Criterios!$C$31+controle_formulario!$I$16-1),"SIM","NÃO")</f>
        <v>NÃO</v>
      </c>
      <c r="B231" s="205">
        <f t="shared" si="93"/>
        <v>0</v>
      </c>
      <c r="C231" s="205" t="str">
        <f t="shared" si="94"/>
        <v>Formrol</v>
      </c>
      <c r="D231" s="180"/>
      <c r="E231" s="205" t="str">
        <f t="shared" si="95"/>
        <v>Planilha 1</v>
      </c>
      <c r="F231" s="205" t="str">
        <f t="shared" si="96"/>
        <v>Geral</v>
      </c>
      <c r="G231" s="205" t="s">
        <v>27</v>
      </c>
      <c r="H231" s="212">
        <f t="shared" si="107"/>
        <v>2035</v>
      </c>
      <c r="I231" s="213">
        <f t="shared" si="107"/>
        <v>0</v>
      </c>
      <c r="J231" s="207" t="str">
        <f>IF(controle_formulario!$C$39=1,controle_formulario!$C$37,controle_formulario!$C$38)</f>
        <v>Epidemiologico Beneficiarios Saude Suplementar</v>
      </c>
      <c r="K231" s="208" t="s">
        <v>169</v>
      </c>
      <c r="L231" s="208">
        <f t="shared" si="106"/>
        <v>0</v>
      </c>
      <c r="M231" s="201">
        <f t="shared" si="109"/>
        <v>0</v>
      </c>
      <c r="N231" s="201">
        <f t="shared" si="109"/>
        <v>0</v>
      </c>
      <c r="O231" s="214" t="s">
        <v>175</v>
      </c>
      <c r="P231" s="214" t="str">
        <f t="shared" si="99"/>
        <v>Taxa de difusão em X anos: XX%</v>
      </c>
      <c r="Q231" s="209">
        <f>'Market Share'!F49</f>
        <v>0</v>
      </c>
      <c r="R231" s="216">
        <f t="shared" ca="1" si="108"/>
        <v>0</v>
      </c>
      <c r="S231" s="217">
        <f t="shared" ca="1" si="108"/>
        <v>0</v>
      </c>
    </row>
    <row r="232" spans="1:19" x14ac:dyDescent="0.3">
      <c r="A232" s="189" t="str">
        <f>IF(AND(VALUE(RIGHT(O232,2))&lt;=controle_formulario!$E$16,VALUE(RIGHT(K232,2))&lt;=controle_formulario!$C$10,H232&lt;=Criterios!$C$31+controle_formulario!$I$16-1),"SIM","NÃO")</f>
        <v>NÃO</v>
      </c>
      <c r="B232" s="189">
        <f t="shared" si="93"/>
        <v>0</v>
      </c>
      <c r="C232" s="189" t="str">
        <f t="shared" si="94"/>
        <v>Formrol</v>
      </c>
      <c r="D232" s="177"/>
      <c r="E232" s="189" t="str">
        <f t="shared" si="95"/>
        <v>Planilha 1</v>
      </c>
      <c r="F232" s="189" t="str">
        <f t="shared" si="96"/>
        <v>Geral</v>
      </c>
      <c r="G232" s="189" t="s">
        <v>18</v>
      </c>
      <c r="H232" s="190">
        <f>H222</f>
        <v>2026</v>
      </c>
      <c r="I232" s="191">
        <f ca="1">I222</f>
        <v>35.902021176061034</v>
      </c>
      <c r="J232" s="191" t="str">
        <f>IF(controle_formulario!$C$39=1,controle_formulario!$C$37,controle_formulario!$C$38)</f>
        <v>Epidemiologico Beneficiarios Saude Suplementar</v>
      </c>
      <c r="K232" s="192" t="s">
        <v>170</v>
      </c>
      <c r="L232" s="192">
        <f t="shared" ref="L232:L241" si="110">trat.c</f>
        <v>0</v>
      </c>
      <c r="M232" s="193">
        <f>Resumo!$D$41</f>
        <v>0</v>
      </c>
      <c r="N232" s="193">
        <f>Resumo!$D$50</f>
        <v>0</v>
      </c>
      <c r="O232" s="192" t="s">
        <v>175</v>
      </c>
      <c r="P232" s="192" t="str">
        <f t="shared" si="99"/>
        <v>Taxa de difusão em X anos: XX%</v>
      </c>
      <c r="Q232" s="194">
        <f>'Market Share'!G40</f>
        <v>0</v>
      </c>
      <c r="R232" s="195">
        <f ca="1">R222</f>
        <v>0</v>
      </c>
      <c r="S232" s="196">
        <f ca="1">S222</f>
        <v>-4110544.4385289042</v>
      </c>
    </row>
    <row r="233" spans="1:19" x14ac:dyDescent="0.3">
      <c r="A233" s="198" t="str">
        <f>IF(AND(VALUE(RIGHT(O233,2))&lt;=controle_formulario!$E$16,VALUE(RIGHT(K233,2))&lt;=controle_formulario!$C$10,H233&lt;=Criterios!$C$31+controle_formulario!$I$16-1),"SIM","NÃO")</f>
        <v>NÃO</v>
      </c>
      <c r="B233" s="198">
        <f t="shared" si="93"/>
        <v>0</v>
      </c>
      <c r="C233" s="198" t="str">
        <f t="shared" si="94"/>
        <v>Formrol</v>
      </c>
      <c r="D233" s="179"/>
      <c r="E233" s="198" t="str">
        <f t="shared" si="95"/>
        <v>Planilha 1</v>
      </c>
      <c r="F233" s="198" t="str">
        <f t="shared" si="96"/>
        <v>Geral</v>
      </c>
      <c r="G233" s="198" t="s">
        <v>19</v>
      </c>
      <c r="H233" s="199">
        <f t="shared" ref="H233:I241" si="111">H223</f>
        <v>2027</v>
      </c>
      <c r="I233" s="200">
        <f t="shared" ca="1" si="111"/>
        <v>36.027114594978322</v>
      </c>
      <c r="J233" s="200" t="str">
        <f>IF(controle_formulario!$C$39=1,controle_formulario!$C$37,controle_formulario!$C$38)</f>
        <v>Epidemiologico Beneficiarios Saude Suplementar</v>
      </c>
      <c r="K233" s="197" t="s">
        <v>170</v>
      </c>
      <c r="L233" s="197">
        <f t="shared" si="110"/>
        <v>0</v>
      </c>
      <c r="M233" s="201">
        <f>M232</f>
        <v>0</v>
      </c>
      <c r="N233" s="201">
        <f>N232</f>
        <v>0</v>
      </c>
      <c r="O233" s="197" t="s">
        <v>175</v>
      </c>
      <c r="P233" s="197" t="str">
        <f t="shared" si="99"/>
        <v>Taxa de difusão em X anos: XX%</v>
      </c>
      <c r="Q233" s="202">
        <f>'Market Share'!G41</f>
        <v>0</v>
      </c>
      <c r="R233" s="203">
        <f t="shared" ref="R233:S241" ca="1" si="112">R223</f>
        <v>0</v>
      </c>
      <c r="S233" s="204">
        <f t="shared" ca="1" si="112"/>
        <v>-4124866.8092641174</v>
      </c>
    </row>
    <row r="234" spans="1:19" x14ac:dyDescent="0.3">
      <c r="A234" s="198" t="str">
        <f>IF(AND(VALUE(RIGHT(O234,2))&lt;=controle_formulario!$E$16,VALUE(RIGHT(K234,2))&lt;=controle_formulario!$C$10,H234&lt;=Criterios!$C$31+controle_formulario!$I$16-1),"SIM","NÃO")</f>
        <v>NÃO</v>
      </c>
      <c r="B234" s="198">
        <f t="shared" si="93"/>
        <v>0</v>
      </c>
      <c r="C234" s="198" t="str">
        <f t="shared" si="94"/>
        <v>Formrol</v>
      </c>
      <c r="D234" s="179"/>
      <c r="E234" s="198" t="str">
        <f t="shared" si="95"/>
        <v>Planilha 1</v>
      </c>
      <c r="F234" s="198" t="str">
        <f t="shared" si="96"/>
        <v>Geral</v>
      </c>
      <c r="G234" s="198" t="s">
        <v>20</v>
      </c>
      <c r="H234" s="199">
        <f t="shared" si="111"/>
        <v>2028</v>
      </c>
      <c r="I234" s="200">
        <f t="shared" ca="1" si="111"/>
        <v>36.142742272880319</v>
      </c>
      <c r="J234" s="200" t="str">
        <f>IF(controle_formulario!$C$39=1,controle_formulario!$C$37,controle_formulario!$C$38)</f>
        <v>Epidemiologico Beneficiarios Saude Suplementar</v>
      </c>
      <c r="K234" s="197" t="s">
        <v>170</v>
      </c>
      <c r="L234" s="197">
        <f t="shared" si="110"/>
        <v>0</v>
      </c>
      <c r="M234" s="201">
        <f t="shared" ref="M234:N241" si="113">M233</f>
        <v>0</v>
      </c>
      <c r="N234" s="201">
        <f t="shared" si="113"/>
        <v>0</v>
      </c>
      <c r="O234" s="197" t="s">
        <v>175</v>
      </c>
      <c r="P234" s="197" t="str">
        <f t="shared" ref="P234:P251" si="114">cen.alt4</f>
        <v>Taxa de difusão em X anos: XX%</v>
      </c>
      <c r="Q234" s="202">
        <f>'Market Share'!G42</f>
        <v>0</v>
      </c>
      <c r="R234" s="203">
        <f t="shared" ca="1" si="112"/>
        <v>0</v>
      </c>
      <c r="S234" s="204">
        <f t="shared" ca="1" si="112"/>
        <v>-4138105.4151356164</v>
      </c>
    </row>
    <row r="235" spans="1:19" x14ac:dyDescent="0.3">
      <c r="A235" s="198" t="str">
        <f>IF(AND(VALUE(RIGHT(O235,2))&lt;=controle_formulario!$E$16,VALUE(RIGHT(K235,2))&lt;=controle_formulario!$C$10,H235&lt;=Criterios!$C$31+controle_formulario!$I$16-1),"SIM","NÃO")</f>
        <v>NÃO</v>
      </c>
      <c r="B235" s="198">
        <f t="shared" si="93"/>
        <v>0</v>
      </c>
      <c r="C235" s="198" t="str">
        <f t="shared" si="94"/>
        <v>Formrol</v>
      </c>
      <c r="D235" s="179"/>
      <c r="E235" s="198" t="str">
        <f t="shared" si="95"/>
        <v>Planilha 1</v>
      </c>
      <c r="F235" s="198" t="str">
        <f t="shared" si="96"/>
        <v>Geral</v>
      </c>
      <c r="G235" s="198" t="s">
        <v>21</v>
      </c>
      <c r="H235" s="199">
        <f t="shared" si="111"/>
        <v>2029</v>
      </c>
      <c r="I235" s="200">
        <f t="shared" ca="1" si="111"/>
        <v>36.250027878529522</v>
      </c>
      <c r="J235" s="200" t="str">
        <f>IF(controle_formulario!$C$39=1,controle_formulario!$C$37,controle_formulario!$C$38)</f>
        <v>Epidemiologico Beneficiarios Saude Suplementar</v>
      </c>
      <c r="K235" s="197" t="s">
        <v>170</v>
      </c>
      <c r="L235" s="197">
        <f t="shared" si="110"/>
        <v>0</v>
      </c>
      <c r="M235" s="201">
        <f t="shared" si="113"/>
        <v>0</v>
      </c>
      <c r="N235" s="201">
        <f t="shared" si="113"/>
        <v>0</v>
      </c>
      <c r="O235" s="197" t="s">
        <v>175</v>
      </c>
      <c r="P235" s="197" t="str">
        <f t="shared" si="114"/>
        <v>Taxa de difusão em X anos: XX%</v>
      </c>
      <c r="Q235" s="202">
        <f>'Market Share'!G43</f>
        <v>0</v>
      </c>
      <c r="R235" s="203">
        <f t="shared" ca="1" si="112"/>
        <v>0</v>
      </c>
      <c r="S235" s="204">
        <f t="shared" ca="1" si="112"/>
        <v>-4150388.9087994657</v>
      </c>
    </row>
    <row r="236" spans="1:19" x14ac:dyDescent="0.3">
      <c r="A236" s="198" t="str">
        <f>IF(AND(VALUE(RIGHT(O236,2))&lt;=controle_formulario!$E$16,VALUE(RIGHT(K236,2))&lt;=controle_formulario!$C$10,H236&lt;=Criterios!$C$31+controle_formulario!$I$16-1),"SIM","NÃO")</f>
        <v>NÃO</v>
      </c>
      <c r="B236" s="198">
        <f t="shared" si="93"/>
        <v>0</v>
      </c>
      <c r="C236" s="198" t="str">
        <f t="shared" si="94"/>
        <v>Formrol</v>
      </c>
      <c r="D236" s="179"/>
      <c r="E236" s="198" t="str">
        <f t="shared" si="95"/>
        <v>Planilha 1</v>
      </c>
      <c r="F236" s="198" t="str">
        <f t="shared" si="96"/>
        <v>Geral</v>
      </c>
      <c r="G236" s="198" t="s">
        <v>22</v>
      </c>
      <c r="H236" s="199">
        <f t="shared" si="111"/>
        <v>2030</v>
      </c>
      <c r="I236" s="200">
        <f t="shared" ca="1" si="111"/>
        <v>36.350592396534239</v>
      </c>
      <c r="J236" s="200" t="str">
        <f>IF(controle_formulario!$C$39=1,controle_formulario!$C$37,controle_formulario!$C$38)</f>
        <v>Epidemiologico Beneficiarios Saude Suplementar</v>
      </c>
      <c r="K236" s="197" t="s">
        <v>170</v>
      </c>
      <c r="L236" s="197">
        <f t="shared" si="110"/>
        <v>0</v>
      </c>
      <c r="M236" s="201">
        <f t="shared" si="113"/>
        <v>0</v>
      </c>
      <c r="N236" s="201">
        <f t="shared" si="113"/>
        <v>0</v>
      </c>
      <c r="O236" s="197" t="s">
        <v>175</v>
      </c>
      <c r="P236" s="197" t="str">
        <f t="shared" si="114"/>
        <v>Taxa de difusão em X anos: XX%</v>
      </c>
      <c r="Q236" s="202">
        <f>'Market Share'!G44</f>
        <v>0</v>
      </c>
      <c r="R236" s="203">
        <f t="shared" ca="1" si="112"/>
        <v>0</v>
      </c>
      <c r="S236" s="204">
        <f t="shared" ca="1" si="112"/>
        <v>-4161902.8822933384</v>
      </c>
    </row>
    <row r="237" spans="1:19" x14ac:dyDescent="0.3">
      <c r="A237" s="198" t="str">
        <f>IF(AND(VALUE(RIGHT(O237,2))&lt;=controle_formulario!$E$16,VALUE(RIGHT(K237,2))&lt;=controle_formulario!$C$10,H237&lt;=Criterios!$C$31+controle_formulario!$I$16-1),"SIM","NÃO")</f>
        <v>NÃO</v>
      </c>
      <c r="B237" s="198">
        <f t="shared" si="93"/>
        <v>0</v>
      </c>
      <c r="C237" s="198" t="str">
        <f t="shared" si="94"/>
        <v>Formrol</v>
      </c>
      <c r="D237" s="179"/>
      <c r="E237" s="198" t="str">
        <f t="shared" si="95"/>
        <v>Planilha 1</v>
      </c>
      <c r="F237" s="198" t="str">
        <f t="shared" si="96"/>
        <v>Geral</v>
      </c>
      <c r="G237" s="198" t="s">
        <v>23</v>
      </c>
      <c r="H237" s="199">
        <f t="shared" si="111"/>
        <v>2031</v>
      </c>
      <c r="I237" s="200">
        <f t="shared" si="111"/>
        <v>0</v>
      </c>
      <c r="J237" s="200" t="str">
        <f>IF(controle_formulario!$C$39=1,controle_formulario!$C$37,controle_formulario!$C$38)</f>
        <v>Epidemiologico Beneficiarios Saude Suplementar</v>
      </c>
      <c r="K237" s="197" t="s">
        <v>170</v>
      </c>
      <c r="L237" s="197">
        <f t="shared" si="110"/>
        <v>0</v>
      </c>
      <c r="M237" s="201">
        <f t="shared" si="113"/>
        <v>0</v>
      </c>
      <c r="N237" s="201">
        <f t="shared" si="113"/>
        <v>0</v>
      </c>
      <c r="O237" s="197" t="s">
        <v>175</v>
      </c>
      <c r="P237" s="197" t="str">
        <f t="shared" si="114"/>
        <v>Taxa de difusão em X anos: XX%</v>
      </c>
      <c r="Q237" s="202">
        <f>'Market Share'!G45</f>
        <v>0</v>
      </c>
      <c r="R237" s="203">
        <f t="shared" ca="1" si="112"/>
        <v>0</v>
      </c>
      <c r="S237" s="204">
        <f t="shared" ca="1" si="112"/>
        <v>0</v>
      </c>
    </row>
    <row r="238" spans="1:19" x14ac:dyDescent="0.3">
      <c r="A238" s="198" t="str">
        <f>IF(AND(VALUE(RIGHT(O238,2))&lt;=controle_formulario!$E$16,VALUE(RIGHT(K238,2))&lt;=controle_formulario!$C$10,H238&lt;=Criterios!$C$31+controle_formulario!$I$16-1),"SIM","NÃO")</f>
        <v>NÃO</v>
      </c>
      <c r="B238" s="198">
        <f t="shared" si="93"/>
        <v>0</v>
      </c>
      <c r="C238" s="198" t="str">
        <f t="shared" si="94"/>
        <v>Formrol</v>
      </c>
      <c r="D238" s="179"/>
      <c r="E238" s="198" t="str">
        <f t="shared" si="95"/>
        <v>Planilha 1</v>
      </c>
      <c r="F238" s="198" t="str">
        <f t="shared" si="96"/>
        <v>Geral</v>
      </c>
      <c r="G238" s="198" t="s">
        <v>24</v>
      </c>
      <c r="H238" s="199">
        <f t="shared" si="111"/>
        <v>2032</v>
      </c>
      <c r="I238" s="200">
        <f t="shared" si="111"/>
        <v>0</v>
      </c>
      <c r="J238" s="200" t="str">
        <f>IF(controle_formulario!$C$39=1,controle_formulario!$C$37,controle_formulario!$C$38)</f>
        <v>Epidemiologico Beneficiarios Saude Suplementar</v>
      </c>
      <c r="K238" s="197" t="s">
        <v>170</v>
      </c>
      <c r="L238" s="197">
        <f t="shared" si="110"/>
        <v>0</v>
      </c>
      <c r="M238" s="201">
        <f t="shared" si="113"/>
        <v>0</v>
      </c>
      <c r="N238" s="201">
        <f t="shared" si="113"/>
        <v>0</v>
      </c>
      <c r="O238" s="197" t="s">
        <v>175</v>
      </c>
      <c r="P238" s="197" t="str">
        <f t="shared" si="114"/>
        <v>Taxa de difusão em X anos: XX%</v>
      </c>
      <c r="Q238" s="202">
        <f>'Market Share'!G46</f>
        <v>0</v>
      </c>
      <c r="R238" s="203">
        <f t="shared" ca="1" si="112"/>
        <v>0</v>
      </c>
      <c r="S238" s="204">
        <f t="shared" ca="1" si="112"/>
        <v>0</v>
      </c>
    </row>
    <row r="239" spans="1:19" x14ac:dyDescent="0.3">
      <c r="A239" s="198" t="str">
        <f>IF(AND(VALUE(RIGHT(O239,2))&lt;=controle_formulario!$E$16,VALUE(RIGHT(K239,2))&lt;=controle_formulario!$C$10,H239&lt;=Criterios!$C$31+controle_formulario!$I$16-1),"SIM","NÃO")</f>
        <v>NÃO</v>
      </c>
      <c r="B239" s="198">
        <f t="shared" si="93"/>
        <v>0</v>
      </c>
      <c r="C239" s="198" t="str">
        <f t="shared" si="94"/>
        <v>Formrol</v>
      </c>
      <c r="D239" s="179"/>
      <c r="E239" s="198" t="str">
        <f t="shared" si="95"/>
        <v>Planilha 1</v>
      </c>
      <c r="F239" s="198" t="str">
        <f t="shared" si="96"/>
        <v>Geral</v>
      </c>
      <c r="G239" s="198" t="s">
        <v>25</v>
      </c>
      <c r="H239" s="199">
        <f t="shared" si="111"/>
        <v>2033</v>
      </c>
      <c r="I239" s="200">
        <f t="shared" si="111"/>
        <v>0</v>
      </c>
      <c r="J239" s="200" t="str">
        <f>IF(controle_formulario!$C$39=1,controle_formulario!$C$37,controle_formulario!$C$38)</f>
        <v>Epidemiologico Beneficiarios Saude Suplementar</v>
      </c>
      <c r="K239" s="197" t="s">
        <v>170</v>
      </c>
      <c r="L239" s="197">
        <f t="shared" si="110"/>
        <v>0</v>
      </c>
      <c r="M239" s="201">
        <f t="shared" si="113"/>
        <v>0</v>
      </c>
      <c r="N239" s="201">
        <f t="shared" si="113"/>
        <v>0</v>
      </c>
      <c r="O239" s="197" t="s">
        <v>175</v>
      </c>
      <c r="P239" s="197" t="str">
        <f t="shared" si="114"/>
        <v>Taxa de difusão em X anos: XX%</v>
      </c>
      <c r="Q239" s="202">
        <f>'Market Share'!G47</f>
        <v>0</v>
      </c>
      <c r="R239" s="203">
        <f t="shared" ca="1" si="112"/>
        <v>0</v>
      </c>
      <c r="S239" s="204">
        <f t="shared" ca="1" si="112"/>
        <v>0</v>
      </c>
    </row>
    <row r="240" spans="1:19" x14ac:dyDescent="0.3">
      <c r="A240" s="198" t="str">
        <f>IF(AND(VALUE(RIGHT(O240,2))&lt;=controle_formulario!$E$16,VALUE(RIGHT(K240,2))&lt;=controle_formulario!$C$10,H240&lt;=Criterios!$C$31+controle_formulario!$I$16-1),"SIM","NÃO")</f>
        <v>NÃO</v>
      </c>
      <c r="B240" s="198">
        <f t="shared" si="93"/>
        <v>0</v>
      </c>
      <c r="C240" s="198" t="str">
        <f t="shared" si="94"/>
        <v>Formrol</v>
      </c>
      <c r="D240" s="179"/>
      <c r="E240" s="198" t="str">
        <f t="shared" si="95"/>
        <v>Planilha 1</v>
      </c>
      <c r="F240" s="198" t="str">
        <f t="shared" si="96"/>
        <v>Geral</v>
      </c>
      <c r="G240" s="198" t="s">
        <v>26</v>
      </c>
      <c r="H240" s="199">
        <f t="shared" si="111"/>
        <v>2034</v>
      </c>
      <c r="I240" s="200">
        <f t="shared" si="111"/>
        <v>0</v>
      </c>
      <c r="J240" s="200" t="str">
        <f>IF(controle_formulario!$C$39=1,controle_formulario!$C$37,controle_formulario!$C$38)</f>
        <v>Epidemiologico Beneficiarios Saude Suplementar</v>
      </c>
      <c r="K240" s="197" t="s">
        <v>170</v>
      </c>
      <c r="L240" s="197">
        <f t="shared" si="110"/>
        <v>0</v>
      </c>
      <c r="M240" s="201">
        <f t="shared" si="113"/>
        <v>0</v>
      </c>
      <c r="N240" s="201">
        <f t="shared" si="113"/>
        <v>0</v>
      </c>
      <c r="O240" s="197" t="s">
        <v>175</v>
      </c>
      <c r="P240" s="197" t="str">
        <f t="shared" si="114"/>
        <v>Taxa de difusão em X anos: XX%</v>
      </c>
      <c r="Q240" s="202">
        <f>'Market Share'!G48</f>
        <v>0</v>
      </c>
      <c r="R240" s="203">
        <f t="shared" ca="1" si="112"/>
        <v>0</v>
      </c>
      <c r="S240" s="204">
        <f t="shared" ca="1" si="112"/>
        <v>0</v>
      </c>
    </row>
    <row r="241" spans="1:19" ht="15" thickBot="1" x14ac:dyDescent="0.35">
      <c r="A241" s="205" t="str">
        <f>IF(AND(VALUE(RIGHT(O241,2))&lt;=controle_formulario!$E$16,VALUE(RIGHT(K241,2))&lt;=controle_formulario!$C$10,H241&lt;=Criterios!$C$31+controle_formulario!$I$16-1),"SIM","NÃO")</f>
        <v>NÃO</v>
      </c>
      <c r="B241" s="205">
        <f t="shared" si="93"/>
        <v>0</v>
      </c>
      <c r="C241" s="205" t="str">
        <f t="shared" si="94"/>
        <v>Formrol</v>
      </c>
      <c r="D241" s="180"/>
      <c r="E241" s="205" t="str">
        <f t="shared" si="95"/>
        <v>Planilha 1</v>
      </c>
      <c r="F241" s="205" t="str">
        <f t="shared" si="96"/>
        <v>Geral</v>
      </c>
      <c r="G241" s="205" t="s">
        <v>27</v>
      </c>
      <c r="H241" s="212">
        <f t="shared" si="111"/>
        <v>2035</v>
      </c>
      <c r="I241" s="213">
        <f t="shared" si="111"/>
        <v>0</v>
      </c>
      <c r="J241" s="207" t="str">
        <f>IF(controle_formulario!$C$39=1,controle_formulario!$C$37,controle_formulario!$C$38)</f>
        <v>Epidemiologico Beneficiarios Saude Suplementar</v>
      </c>
      <c r="K241" s="208" t="s">
        <v>170</v>
      </c>
      <c r="L241" s="208">
        <f t="shared" si="110"/>
        <v>0</v>
      </c>
      <c r="M241" s="201">
        <f t="shared" si="113"/>
        <v>0</v>
      </c>
      <c r="N241" s="201">
        <f t="shared" si="113"/>
        <v>0</v>
      </c>
      <c r="O241" s="214" t="s">
        <v>175</v>
      </c>
      <c r="P241" s="214" t="str">
        <f t="shared" si="114"/>
        <v>Taxa de difusão em X anos: XX%</v>
      </c>
      <c r="Q241" s="209">
        <f>'Market Share'!G49</f>
        <v>0</v>
      </c>
      <c r="R241" s="216">
        <f t="shared" ca="1" si="112"/>
        <v>0</v>
      </c>
      <c r="S241" s="217">
        <f t="shared" ca="1" si="112"/>
        <v>0</v>
      </c>
    </row>
    <row r="242" spans="1:19" x14ac:dyDescent="0.3">
      <c r="A242" s="189" t="str">
        <f>IF(AND(VALUE(RIGHT(O242,2))&lt;=controle_formulario!$E$16,VALUE(RIGHT(K242,2))&lt;=controle_formulario!$C$10,H242&lt;=Criterios!$C$31+controle_formulario!$I$16-1),"SIM","NÃO")</f>
        <v>NÃO</v>
      </c>
      <c r="B242" s="189">
        <f t="shared" si="93"/>
        <v>0</v>
      </c>
      <c r="C242" s="189" t="str">
        <f t="shared" si="94"/>
        <v>Formrol</v>
      </c>
      <c r="D242" s="177"/>
      <c r="E242" s="189" t="str">
        <f t="shared" si="95"/>
        <v>Planilha 1</v>
      </c>
      <c r="F242" s="189" t="str">
        <f t="shared" si="96"/>
        <v>Geral</v>
      </c>
      <c r="G242" s="189" t="s">
        <v>18</v>
      </c>
      <c r="H242" s="190">
        <f>H232</f>
        <v>2026</v>
      </c>
      <c r="I242" s="191">
        <f ca="1">I232</f>
        <v>35.902021176061034</v>
      </c>
      <c r="J242" s="191" t="str">
        <f>IF(controle_formulario!$C$39=1,controle_formulario!$C$37,controle_formulario!$C$38)</f>
        <v>Epidemiologico Beneficiarios Saude Suplementar</v>
      </c>
      <c r="K242" s="192" t="s">
        <v>171</v>
      </c>
      <c r="L242" s="192">
        <f t="shared" ref="L242:L251" si="115">trat.d</f>
        <v>0</v>
      </c>
      <c r="M242" s="193">
        <f>Resumo!$D$42</f>
        <v>0</v>
      </c>
      <c r="N242" s="193">
        <f>Resumo!$D$51</f>
        <v>0</v>
      </c>
      <c r="O242" s="192" t="s">
        <v>175</v>
      </c>
      <c r="P242" s="192" t="str">
        <f t="shared" si="114"/>
        <v>Taxa de difusão em X anos: XX%</v>
      </c>
      <c r="Q242" s="194">
        <f>'Market Share'!H40</f>
        <v>0</v>
      </c>
      <c r="R242" s="195">
        <f ca="1">R232</f>
        <v>0</v>
      </c>
      <c r="S242" s="196">
        <f ca="1">S232</f>
        <v>-4110544.4385289042</v>
      </c>
    </row>
    <row r="243" spans="1:19" x14ac:dyDescent="0.3">
      <c r="A243" s="198" t="str">
        <f>IF(AND(VALUE(RIGHT(O243,2))&lt;=controle_formulario!$E$16,VALUE(RIGHT(K243,2))&lt;=controle_formulario!$C$10,H243&lt;=Criterios!$C$31+controle_formulario!$I$16-1),"SIM","NÃO")</f>
        <v>NÃO</v>
      </c>
      <c r="B243" s="198">
        <f t="shared" si="93"/>
        <v>0</v>
      </c>
      <c r="C243" s="198" t="str">
        <f t="shared" si="94"/>
        <v>Formrol</v>
      </c>
      <c r="D243" s="179"/>
      <c r="E243" s="198" t="str">
        <f t="shared" si="95"/>
        <v>Planilha 1</v>
      </c>
      <c r="F243" s="198" t="str">
        <f t="shared" si="96"/>
        <v>Geral</v>
      </c>
      <c r="G243" s="198" t="s">
        <v>19</v>
      </c>
      <c r="H243" s="199">
        <f t="shared" ref="H243:I251" si="116">H233</f>
        <v>2027</v>
      </c>
      <c r="I243" s="200">
        <f t="shared" ca="1" si="116"/>
        <v>36.027114594978322</v>
      </c>
      <c r="J243" s="200" t="str">
        <f>IF(controle_formulario!$C$39=1,controle_formulario!$C$37,controle_formulario!$C$38)</f>
        <v>Epidemiologico Beneficiarios Saude Suplementar</v>
      </c>
      <c r="K243" s="197" t="s">
        <v>171</v>
      </c>
      <c r="L243" s="197">
        <f t="shared" si="115"/>
        <v>0</v>
      </c>
      <c r="M243" s="201">
        <f>M242</f>
        <v>0</v>
      </c>
      <c r="N243" s="201">
        <f>N242</f>
        <v>0</v>
      </c>
      <c r="O243" s="197" t="s">
        <v>175</v>
      </c>
      <c r="P243" s="197" t="str">
        <f t="shared" si="114"/>
        <v>Taxa de difusão em X anos: XX%</v>
      </c>
      <c r="Q243" s="202">
        <f>'Market Share'!H41</f>
        <v>0</v>
      </c>
      <c r="R243" s="203">
        <f t="shared" ref="R243:S251" ca="1" si="117">R233</f>
        <v>0</v>
      </c>
      <c r="S243" s="204">
        <f t="shared" ca="1" si="117"/>
        <v>-4124866.8092641174</v>
      </c>
    </row>
    <row r="244" spans="1:19" x14ac:dyDescent="0.3">
      <c r="A244" s="198" t="str">
        <f>IF(AND(VALUE(RIGHT(O244,2))&lt;=controle_formulario!$E$16,VALUE(RIGHT(K244,2))&lt;=controle_formulario!$C$10,H244&lt;=Criterios!$C$31+controle_formulario!$I$16-1),"SIM","NÃO")</f>
        <v>NÃO</v>
      </c>
      <c r="B244" s="198">
        <f t="shared" si="93"/>
        <v>0</v>
      </c>
      <c r="C244" s="198" t="str">
        <f t="shared" si="94"/>
        <v>Formrol</v>
      </c>
      <c r="D244" s="179"/>
      <c r="E244" s="198" t="str">
        <f t="shared" si="95"/>
        <v>Planilha 1</v>
      </c>
      <c r="F244" s="198" t="str">
        <f t="shared" si="96"/>
        <v>Geral</v>
      </c>
      <c r="G244" s="198" t="s">
        <v>20</v>
      </c>
      <c r="H244" s="199">
        <f t="shared" si="116"/>
        <v>2028</v>
      </c>
      <c r="I244" s="200">
        <f t="shared" ca="1" si="116"/>
        <v>36.142742272880319</v>
      </c>
      <c r="J244" s="200" t="str">
        <f>IF(controle_formulario!$C$39=1,controle_formulario!$C$37,controle_formulario!$C$38)</f>
        <v>Epidemiologico Beneficiarios Saude Suplementar</v>
      </c>
      <c r="K244" s="197" t="s">
        <v>171</v>
      </c>
      <c r="L244" s="197">
        <f t="shared" si="115"/>
        <v>0</v>
      </c>
      <c r="M244" s="201">
        <f t="shared" ref="M244:N251" si="118">M243</f>
        <v>0</v>
      </c>
      <c r="N244" s="201">
        <f t="shared" si="118"/>
        <v>0</v>
      </c>
      <c r="O244" s="197" t="s">
        <v>175</v>
      </c>
      <c r="P244" s="197" t="str">
        <f t="shared" si="114"/>
        <v>Taxa de difusão em X anos: XX%</v>
      </c>
      <c r="Q244" s="202">
        <f>'Market Share'!H42</f>
        <v>0</v>
      </c>
      <c r="R244" s="203">
        <f t="shared" ca="1" si="117"/>
        <v>0</v>
      </c>
      <c r="S244" s="204">
        <f t="shared" ca="1" si="117"/>
        <v>-4138105.4151356164</v>
      </c>
    </row>
    <row r="245" spans="1:19" x14ac:dyDescent="0.3">
      <c r="A245" s="198" t="str">
        <f>IF(AND(VALUE(RIGHT(O245,2))&lt;=controle_formulario!$E$16,VALUE(RIGHT(K245,2))&lt;=controle_formulario!$C$10,H245&lt;=Criterios!$C$31+controle_formulario!$I$16-1),"SIM","NÃO")</f>
        <v>NÃO</v>
      </c>
      <c r="B245" s="198">
        <f t="shared" si="93"/>
        <v>0</v>
      </c>
      <c r="C245" s="198" t="str">
        <f t="shared" si="94"/>
        <v>Formrol</v>
      </c>
      <c r="D245" s="179"/>
      <c r="E245" s="198" t="str">
        <f t="shared" si="95"/>
        <v>Planilha 1</v>
      </c>
      <c r="F245" s="198" t="str">
        <f t="shared" si="96"/>
        <v>Geral</v>
      </c>
      <c r="G245" s="198" t="s">
        <v>21</v>
      </c>
      <c r="H245" s="199">
        <f t="shared" si="116"/>
        <v>2029</v>
      </c>
      <c r="I245" s="200">
        <f t="shared" ca="1" si="116"/>
        <v>36.250027878529522</v>
      </c>
      <c r="J245" s="200" t="str">
        <f>IF(controle_formulario!$C$39=1,controle_formulario!$C$37,controle_formulario!$C$38)</f>
        <v>Epidemiologico Beneficiarios Saude Suplementar</v>
      </c>
      <c r="K245" s="197" t="s">
        <v>171</v>
      </c>
      <c r="L245" s="197">
        <f t="shared" si="115"/>
        <v>0</v>
      </c>
      <c r="M245" s="201">
        <f t="shared" si="118"/>
        <v>0</v>
      </c>
      <c r="N245" s="201">
        <f t="shared" si="118"/>
        <v>0</v>
      </c>
      <c r="O245" s="197" t="s">
        <v>175</v>
      </c>
      <c r="P245" s="197" t="str">
        <f t="shared" si="114"/>
        <v>Taxa de difusão em X anos: XX%</v>
      </c>
      <c r="Q245" s="202">
        <f>'Market Share'!H43</f>
        <v>0</v>
      </c>
      <c r="R245" s="203">
        <f t="shared" ca="1" si="117"/>
        <v>0</v>
      </c>
      <c r="S245" s="204">
        <f t="shared" ca="1" si="117"/>
        <v>-4150388.9087994657</v>
      </c>
    </row>
    <row r="246" spans="1:19" x14ac:dyDescent="0.3">
      <c r="A246" s="198" t="str">
        <f>IF(AND(VALUE(RIGHT(O246,2))&lt;=controle_formulario!$E$16,VALUE(RIGHT(K246,2))&lt;=controle_formulario!$C$10,H246&lt;=Criterios!$C$31+controle_formulario!$I$16-1),"SIM","NÃO")</f>
        <v>NÃO</v>
      </c>
      <c r="B246" s="198">
        <f t="shared" si="93"/>
        <v>0</v>
      </c>
      <c r="C246" s="198" t="str">
        <f t="shared" si="94"/>
        <v>Formrol</v>
      </c>
      <c r="D246" s="179"/>
      <c r="E246" s="198" t="str">
        <f t="shared" si="95"/>
        <v>Planilha 1</v>
      </c>
      <c r="F246" s="198" t="str">
        <f t="shared" si="96"/>
        <v>Geral</v>
      </c>
      <c r="G246" s="198" t="s">
        <v>22</v>
      </c>
      <c r="H246" s="199">
        <f t="shared" si="116"/>
        <v>2030</v>
      </c>
      <c r="I246" s="200">
        <f t="shared" ca="1" si="116"/>
        <v>36.350592396534239</v>
      </c>
      <c r="J246" s="200" t="str">
        <f>IF(controle_formulario!$C$39=1,controle_formulario!$C$37,controle_formulario!$C$38)</f>
        <v>Epidemiologico Beneficiarios Saude Suplementar</v>
      </c>
      <c r="K246" s="197" t="s">
        <v>171</v>
      </c>
      <c r="L246" s="197">
        <f t="shared" si="115"/>
        <v>0</v>
      </c>
      <c r="M246" s="201">
        <f t="shared" si="118"/>
        <v>0</v>
      </c>
      <c r="N246" s="201">
        <f t="shared" si="118"/>
        <v>0</v>
      </c>
      <c r="O246" s="197" t="s">
        <v>175</v>
      </c>
      <c r="P246" s="197" t="str">
        <f t="shared" si="114"/>
        <v>Taxa de difusão em X anos: XX%</v>
      </c>
      <c r="Q246" s="202">
        <f>'Market Share'!H44</f>
        <v>0</v>
      </c>
      <c r="R246" s="203">
        <f t="shared" ca="1" si="117"/>
        <v>0</v>
      </c>
      <c r="S246" s="204">
        <f t="shared" ca="1" si="117"/>
        <v>-4161902.8822933384</v>
      </c>
    </row>
    <row r="247" spans="1:19" x14ac:dyDescent="0.3">
      <c r="A247" s="198" t="str">
        <f>IF(AND(VALUE(RIGHT(O247,2))&lt;=controle_formulario!$E$16,VALUE(RIGHT(K247,2))&lt;=controle_formulario!$C$10,H247&lt;=Criterios!$C$31+controle_formulario!$I$16-1),"SIM","NÃO")</f>
        <v>NÃO</v>
      </c>
      <c r="B247" s="198">
        <f t="shared" si="93"/>
        <v>0</v>
      </c>
      <c r="C247" s="198" t="str">
        <f t="shared" si="94"/>
        <v>Formrol</v>
      </c>
      <c r="D247" s="179"/>
      <c r="E247" s="198" t="str">
        <f t="shared" si="95"/>
        <v>Planilha 1</v>
      </c>
      <c r="F247" s="198" t="str">
        <f t="shared" si="96"/>
        <v>Geral</v>
      </c>
      <c r="G247" s="198" t="s">
        <v>23</v>
      </c>
      <c r="H247" s="199">
        <f t="shared" si="116"/>
        <v>2031</v>
      </c>
      <c r="I247" s="200">
        <f t="shared" si="116"/>
        <v>0</v>
      </c>
      <c r="J247" s="200" t="str">
        <f>IF(controle_formulario!$C$39=1,controle_formulario!$C$37,controle_formulario!$C$38)</f>
        <v>Epidemiologico Beneficiarios Saude Suplementar</v>
      </c>
      <c r="K247" s="197" t="s">
        <v>171</v>
      </c>
      <c r="L247" s="197">
        <f t="shared" si="115"/>
        <v>0</v>
      </c>
      <c r="M247" s="201">
        <f t="shared" si="118"/>
        <v>0</v>
      </c>
      <c r="N247" s="201">
        <f t="shared" si="118"/>
        <v>0</v>
      </c>
      <c r="O247" s="197" t="s">
        <v>175</v>
      </c>
      <c r="P247" s="197" t="str">
        <f t="shared" si="114"/>
        <v>Taxa de difusão em X anos: XX%</v>
      </c>
      <c r="Q247" s="202">
        <f>'Market Share'!H45</f>
        <v>0</v>
      </c>
      <c r="R247" s="203">
        <f t="shared" ca="1" si="117"/>
        <v>0</v>
      </c>
      <c r="S247" s="204">
        <f t="shared" ca="1" si="117"/>
        <v>0</v>
      </c>
    </row>
    <row r="248" spans="1:19" x14ac:dyDescent="0.3">
      <c r="A248" s="198" t="str">
        <f>IF(AND(VALUE(RIGHT(O248,2))&lt;=controle_formulario!$E$16,VALUE(RIGHT(K248,2))&lt;=controle_formulario!$C$10,H248&lt;=Criterios!$C$31+controle_formulario!$I$16-1),"SIM","NÃO")</f>
        <v>NÃO</v>
      </c>
      <c r="B248" s="198">
        <f t="shared" si="93"/>
        <v>0</v>
      </c>
      <c r="C248" s="198" t="str">
        <f t="shared" si="94"/>
        <v>Formrol</v>
      </c>
      <c r="D248" s="179"/>
      <c r="E248" s="198" t="str">
        <f t="shared" si="95"/>
        <v>Planilha 1</v>
      </c>
      <c r="F248" s="198" t="str">
        <f t="shared" si="96"/>
        <v>Geral</v>
      </c>
      <c r="G248" s="198" t="s">
        <v>24</v>
      </c>
      <c r="H248" s="199">
        <f t="shared" si="116"/>
        <v>2032</v>
      </c>
      <c r="I248" s="200">
        <f t="shared" si="116"/>
        <v>0</v>
      </c>
      <c r="J248" s="200" t="str">
        <f>IF(controle_formulario!$C$39=1,controle_formulario!$C$37,controle_formulario!$C$38)</f>
        <v>Epidemiologico Beneficiarios Saude Suplementar</v>
      </c>
      <c r="K248" s="197" t="s">
        <v>171</v>
      </c>
      <c r="L248" s="197">
        <f t="shared" si="115"/>
        <v>0</v>
      </c>
      <c r="M248" s="201">
        <f t="shared" si="118"/>
        <v>0</v>
      </c>
      <c r="N248" s="201">
        <f t="shared" si="118"/>
        <v>0</v>
      </c>
      <c r="O248" s="197" t="s">
        <v>175</v>
      </c>
      <c r="P248" s="197" t="str">
        <f t="shared" si="114"/>
        <v>Taxa de difusão em X anos: XX%</v>
      </c>
      <c r="Q248" s="202">
        <f>'Market Share'!H46</f>
        <v>0</v>
      </c>
      <c r="R248" s="203">
        <f t="shared" ca="1" si="117"/>
        <v>0</v>
      </c>
      <c r="S248" s="204">
        <f t="shared" ca="1" si="117"/>
        <v>0</v>
      </c>
    </row>
    <row r="249" spans="1:19" x14ac:dyDescent="0.3">
      <c r="A249" s="198" t="str">
        <f>IF(AND(VALUE(RIGHT(O249,2))&lt;=controle_formulario!$E$16,VALUE(RIGHT(K249,2))&lt;=controle_formulario!$C$10,H249&lt;=Criterios!$C$31+controle_formulario!$I$16-1),"SIM","NÃO")</f>
        <v>NÃO</v>
      </c>
      <c r="B249" s="198">
        <f t="shared" si="93"/>
        <v>0</v>
      </c>
      <c r="C249" s="198" t="str">
        <f t="shared" si="94"/>
        <v>Formrol</v>
      </c>
      <c r="D249" s="179"/>
      <c r="E249" s="198" t="str">
        <f t="shared" si="95"/>
        <v>Planilha 1</v>
      </c>
      <c r="F249" s="198" t="str">
        <f t="shared" si="96"/>
        <v>Geral</v>
      </c>
      <c r="G249" s="198" t="s">
        <v>25</v>
      </c>
      <c r="H249" s="199">
        <f t="shared" si="116"/>
        <v>2033</v>
      </c>
      <c r="I249" s="200">
        <f t="shared" si="116"/>
        <v>0</v>
      </c>
      <c r="J249" s="200" t="str">
        <f>IF(controle_formulario!$C$39=1,controle_formulario!$C$37,controle_formulario!$C$38)</f>
        <v>Epidemiologico Beneficiarios Saude Suplementar</v>
      </c>
      <c r="K249" s="197" t="s">
        <v>171</v>
      </c>
      <c r="L249" s="197">
        <f t="shared" si="115"/>
        <v>0</v>
      </c>
      <c r="M249" s="201">
        <f t="shared" si="118"/>
        <v>0</v>
      </c>
      <c r="N249" s="201">
        <f t="shared" si="118"/>
        <v>0</v>
      </c>
      <c r="O249" s="197" t="s">
        <v>175</v>
      </c>
      <c r="P249" s="197" t="str">
        <f t="shared" si="114"/>
        <v>Taxa de difusão em X anos: XX%</v>
      </c>
      <c r="Q249" s="202">
        <f>'Market Share'!H47</f>
        <v>0</v>
      </c>
      <c r="R249" s="203">
        <f t="shared" ca="1" si="117"/>
        <v>0</v>
      </c>
      <c r="S249" s="204">
        <f t="shared" ca="1" si="117"/>
        <v>0</v>
      </c>
    </row>
    <row r="250" spans="1:19" x14ac:dyDescent="0.3">
      <c r="A250" s="198" t="str">
        <f>IF(AND(VALUE(RIGHT(O250,2))&lt;=controle_formulario!$E$16,VALUE(RIGHT(K250,2))&lt;=controle_formulario!$C$10,H250&lt;=Criterios!$C$31+controle_formulario!$I$16-1),"SIM","NÃO")</f>
        <v>NÃO</v>
      </c>
      <c r="B250" s="198">
        <f t="shared" si="93"/>
        <v>0</v>
      </c>
      <c r="C250" s="198" t="str">
        <f t="shared" si="94"/>
        <v>Formrol</v>
      </c>
      <c r="D250" s="179"/>
      <c r="E250" s="198" t="str">
        <f t="shared" si="95"/>
        <v>Planilha 1</v>
      </c>
      <c r="F250" s="198" t="str">
        <f t="shared" si="96"/>
        <v>Geral</v>
      </c>
      <c r="G250" s="198" t="s">
        <v>26</v>
      </c>
      <c r="H250" s="199">
        <f t="shared" si="116"/>
        <v>2034</v>
      </c>
      <c r="I250" s="200">
        <f t="shared" si="116"/>
        <v>0</v>
      </c>
      <c r="J250" s="200" t="str">
        <f>IF(controle_formulario!$C$39=1,controle_formulario!$C$37,controle_formulario!$C$38)</f>
        <v>Epidemiologico Beneficiarios Saude Suplementar</v>
      </c>
      <c r="K250" s="197" t="s">
        <v>171</v>
      </c>
      <c r="L250" s="197">
        <f t="shared" si="115"/>
        <v>0</v>
      </c>
      <c r="M250" s="201">
        <f t="shared" si="118"/>
        <v>0</v>
      </c>
      <c r="N250" s="201">
        <f t="shared" si="118"/>
        <v>0</v>
      </c>
      <c r="O250" s="197" t="s">
        <v>175</v>
      </c>
      <c r="P250" s="197" t="str">
        <f t="shared" si="114"/>
        <v>Taxa de difusão em X anos: XX%</v>
      </c>
      <c r="Q250" s="202">
        <f>'Market Share'!H48</f>
        <v>0</v>
      </c>
      <c r="R250" s="203">
        <f t="shared" ca="1" si="117"/>
        <v>0</v>
      </c>
      <c r="S250" s="204">
        <f t="shared" ca="1" si="117"/>
        <v>0</v>
      </c>
    </row>
    <row r="251" spans="1:19" ht="15" thickBot="1" x14ac:dyDescent="0.35">
      <c r="A251" s="205" t="str">
        <f>IF(AND(VALUE(RIGHT(O251,2))&lt;=controle_formulario!$E$16,VALUE(RIGHT(K251,2))&lt;=controle_formulario!$C$10,H251&lt;=Criterios!$C$31+controle_formulario!$I$16-1),"SIM","NÃO")</f>
        <v>NÃO</v>
      </c>
      <c r="B251" s="205">
        <f t="shared" si="93"/>
        <v>0</v>
      </c>
      <c r="C251" s="205" t="str">
        <f t="shared" si="94"/>
        <v>Formrol</v>
      </c>
      <c r="D251" s="180"/>
      <c r="E251" s="205" t="str">
        <f t="shared" si="95"/>
        <v>Planilha 1</v>
      </c>
      <c r="F251" s="205" t="str">
        <f t="shared" si="96"/>
        <v>Geral</v>
      </c>
      <c r="G251" s="205" t="s">
        <v>27</v>
      </c>
      <c r="H251" s="212">
        <f t="shared" si="116"/>
        <v>2035</v>
      </c>
      <c r="I251" s="213">
        <f t="shared" si="116"/>
        <v>0</v>
      </c>
      <c r="J251" s="213" t="str">
        <f>IF(controle_formulario!$C$39=1,controle_formulario!$C$37,controle_formulario!$C$38)</f>
        <v>Epidemiologico Beneficiarios Saude Suplementar</v>
      </c>
      <c r="K251" s="214" t="s">
        <v>171</v>
      </c>
      <c r="L251" s="214">
        <f t="shared" si="115"/>
        <v>0</v>
      </c>
      <c r="M251" s="201">
        <f t="shared" si="118"/>
        <v>0</v>
      </c>
      <c r="N251" s="201">
        <f t="shared" si="118"/>
        <v>0</v>
      </c>
      <c r="O251" s="214" t="s">
        <v>175</v>
      </c>
      <c r="P251" s="214" t="str">
        <f t="shared" si="114"/>
        <v>Taxa de difusão em X anos: XX%</v>
      </c>
      <c r="Q251" s="215">
        <f>'Market Share'!H49</f>
        <v>0</v>
      </c>
      <c r="R251" s="216">
        <f t="shared" ca="1" si="117"/>
        <v>0</v>
      </c>
      <c r="S251" s="217">
        <f t="shared" ca="1" si="117"/>
        <v>0</v>
      </c>
    </row>
    <row r="252" spans="1:19" x14ac:dyDescent="0.3">
      <c r="A252" s="189" t="str">
        <f>IF(AND(VALUE(RIGHT(O252,2))&lt;=controle_formulario!$E$16,H252&lt;=Criterios!$C$31+controle_formulario!$I$16-1),"SIM","NÃO")</f>
        <v>NÃO</v>
      </c>
      <c r="B252" s="189">
        <f t="shared" si="93"/>
        <v>0</v>
      </c>
      <c r="C252" s="189" t="str">
        <f t="shared" si="94"/>
        <v>Formrol</v>
      </c>
      <c r="D252" s="177"/>
      <c r="E252" s="189" t="str">
        <f t="shared" si="95"/>
        <v>Planilha 1</v>
      </c>
      <c r="F252" s="189" t="str">
        <f t="shared" si="96"/>
        <v>Geral</v>
      </c>
      <c r="G252" s="189" t="s">
        <v>18</v>
      </c>
      <c r="H252" s="190">
        <f>H242</f>
        <v>2026</v>
      </c>
      <c r="I252" s="191">
        <f ca="1">I242</f>
        <v>35.902021176061034</v>
      </c>
      <c r="J252" s="191" t="str">
        <f>IF(controle_formulario!$C$39=1,controle_formulario!$C$37,controle_formulario!$C$38)</f>
        <v>Epidemiologico Beneficiarios Saude Suplementar</v>
      </c>
      <c r="K252" s="192" t="s">
        <v>157</v>
      </c>
      <c r="L252" s="192" t="str">
        <f t="shared" ref="L252:L261" si="119">trat.novo</f>
        <v>Pirtobrutinibe</v>
      </c>
      <c r="M252" s="193">
        <f>Resumo!$D$38</f>
        <v>470468.67999999976</v>
      </c>
      <c r="N252" s="193">
        <f>Resumo!$D$47</f>
        <v>0</v>
      </c>
      <c r="O252" s="192" t="s">
        <v>176</v>
      </c>
      <c r="P252" s="192" t="str">
        <f t="shared" ref="P252:P283" si="120">cen.alt5</f>
        <v>Taxa de difusão em X anos: XX%</v>
      </c>
      <c r="Q252" s="194">
        <f>'Market Share'!L40</f>
        <v>0</v>
      </c>
      <c r="R252" s="195">
        <f ca="1">Resumo!I56</f>
        <v>0</v>
      </c>
      <c r="S252" s="196">
        <f ca="1">Resumo!I72</f>
        <v>-4110544.4385289042</v>
      </c>
    </row>
    <row r="253" spans="1:19" x14ac:dyDescent="0.3">
      <c r="A253" s="198" t="str">
        <f>IF(AND(VALUE(RIGHT(O253,2))&lt;=controle_formulario!$E$16,H253&lt;=Criterios!$C$31+controle_formulario!$I$16-1),"SIM","NÃO")</f>
        <v>NÃO</v>
      </c>
      <c r="B253" s="198">
        <f t="shared" si="93"/>
        <v>0</v>
      </c>
      <c r="C253" s="198" t="str">
        <f t="shared" si="94"/>
        <v>Formrol</v>
      </c>
      <c r="D253" s="179"/>
      <c r="E253" s="198" t="str">
        <f t="shared" si="95"/>
        <v>Planilha 1</v>
      </c>
      <c r="F253" s="198" t="str">
        <f t="shared" si="96"/>
        <v>Geral</v>
      </c>
      <c r="G253" s="198" t="s">
        <v>19</v>
      </c>
      <c r="H253" s="199">
        <f t="shared" ref="H253:I261" si="121">H243</f>
        <v>2027</v>
      </c>
      <c r="I253" s="200">
        <f t="shared" ca="1" si="121"/>
        <v>36.027114594978322</v>
      </c>
      <c r="J253" s="200" t="str">
        <f>IF(controle_formulario!$C$39=1,controle_formulario!$C$37,controle_formulario!$C$38)</f>
        <v>Epidemiologico Beneficiarios Saude Suplementar</v>
      </c>
      <c r="K253" s="197" t="s">
        <v>157</v>
      </c>
      <c r="L253" s="197" t="str">
        <f t="shared" si="119"/>
        <v>Pirtobrutinibe</v>
      </c>
      <c r="M253" s="201">
        <f>M252</f>
        <v>470468.67999999976</v>
      </c>
      <c r="N253" s="201">
        <f>N252</f>
        <v>0</v>
      </c>
      <c r="O253" s="197" t="s">
        <v>176</v>
      </c>
      <c r="P253" s="197" t="str">
        <f t="shared" si="120"/>
        <v>Taxa de difusão em X anos: XX%</v>
      </c>
      <c r="Q253" s="202">
        <f>'Market Share'!L41</f>
        <v>0</v>
      </c>
      <c r="R253" s="203">
        <f ca="1">Resumo!I57</f>
        <v>0</v>
      </c>
      <c r="S253" s="204">
        <f ca="1">Resumo!I73</f>
        <v>-4124866.8092641174</v>
      </c>
    </row>
    <row r="254" spans="1:19" x14ac:dyDescent="0.3">
      <c r="A254" s="198" t="str">
        <f>IF(AND(VALUE(RIGHT(O254,2))&lt;=controle_formulario!$E$16,H254&lt;=Criterios!$C$31+controle_formulario!$I$16-1),"SIM","NÃO")</f>
        <v>NÃO</v>
      </c>
      <c r="B254" s="198">
        <f t="shared" si="93"/>
        <v>0</v>
      </c>
      <c r="C254" s="198" t="str">
        <f t="shared" si="94"/>
        <v>Formrol</v>
      </c>
      <c r="D254" s="179"/>
      <c r="E254" s="198" t="str">
        <f t="shared" si="95"/>
        <v>Planilha 1</v>
      </c>
      <c r="F254" s="198" t="str">
        <f t="shared" si="96"/>
        <v>Geral</v>
      </c>
      <c r="G254" s="198" t="s">
        <v>20</v>
      </c>
      <c r="H254" s="199">
        <f t="shared" si="121"/>
        <v>2028</v>
      </c>
      <c r="I254" s="200">
        <f t="shared" ca="1" si="121"/>
        <v>36.142742272880319</v>
      </c>
      <c r="J254" s="200" t="str">
        <f>IF(controle_formulario!$C$39=1,controle_formulario!$C$37,controle_formulario!$C$38)</f>
        <v>Epidemiologico Beneficiarios Saude Suplementar</v>
      </c>
      <c r="K254" s="197" t="s">
        <v>157</v>
      </c>
      <c r="L254" s="197" t="str">
        <f t="shared" si="119"/>
        <v>Pirtobrutinibe</v>
      </c>
      <c r="M254" s="201">
        <f t="shared" ref="M254:N261" si="122">M253</f>
        <v>470468.67999999976</v>
      </c>
      <c r="N254" s="201">
        <f t="shared" si="122"/>
        <v>0</v>
      </c>
      <c r="O254" s="197" t="s">
        <v>176</v>
      </c>
      <c r="P254" s="197" t="str">
        <f t="shared" si="120"/>
        <v>Taxa de difusão em X anos: XX%</v>
      </c>
      <c r="Q254" s="202">
        <f>'Market Share'!L42</f>
        <v>0</v>
      </c>
      <c r="R254" s="203">
        <f ca="1">Resumo!I58</f>
        <v>0</v>
      </c>
      <c r="S254" s="204">
        <f ca="1">Resumo!I74</f>
        <v>-4138105.4151356164</v>
      </c>
    </row>
    <row r="255" spans="1:19" x14ac:dyDescent="0.3">
      <c r="A255" s="198" t="str">
        <f>IF(AND(VALUE(RIGHT(O255,2))&lt;=controle_formulario!$E$16,H255&lt;=Criterios!$C$31+controle_formulario!$I$16-1),"SIM","NÃO")</f>
        <v>NÃO</v>
      </c>
      <c r="B255" s="198">
        <f t="shared" si="93"/>
        <v>0</v>
      </c>
      <c r="C255" s="198" t="str">
        <f t="shared" si="94"/>
        <v>Formrol</v>
      </c>
      <c r="D255" s="179"/>
      <c r="E255" s="198" t="str">
        <f t="shared" si="95"/>
        <v>Planilha 1</v>
      </c>
      <c r="F255" s="198" t="str">
        <f t="shared" si="96"/>
        <v>Geral</v>
      </c>
      <c r="G255" s="198" t="s">
        <v>21</v>
      </c>
      <c r="H255" s="199">
        <f t="shared" si="121"/>
        <v>2029</v>
      </c>
      <c r="I255" s="200">
        <f t="shared" ca="1" si="121"/>
        <v>36.250027878529522</v>
      </c>
      <c r="J255" s="200" t="str">
        <f>IF(controle_formulario!$C$39=1,controle_formulario!$C$37,controle_formulario!$C$38)</f>
        <v>Epidemiologico Beneficiarios Saude Suplementar</v>
      </c>
      <c r="K255" s="197" t="s">
        <v>157</v>
      </c>
      <c r="L255" s="197" t="str">
        <f t="shared" si="119"/>
        <v>Pirtobrutinibe</v>
      </c>
      <c r="M255" s="201">
        <f t="shared" si="122"/>
        <v>470468.67999999976</v>
      </c>
      <c r="N255" s="201">
        <f t="shared" si="122"/>
        <v>0</v>
      </c>
      <c r="O255" s="197" t="s">
        <v>176</v>
      </c>
      <c r="P255" s="197" t="str">
        <f t="shared" si="120"/>
        <v>Taxa de difusão em X anos: XX%</v>
      </c>
      <c r="Q255" s="202">
        <f>'Market Share'!L43</f>
        <v>0</v>
      </c>
      <c r="R255" s="203">
        <f ca="1">Resumo!I59</f>
        <v>0</v>
      </c>
      <c r="S255" s="204">
        <f ca="1">Resumo!I75</f>
        <v>-4150388.9087994657</v>
      </c>
    </row>
    <row r="256" spans="1:19" x14ac:dyDescent="0.3">
      <c r="A256" s="198" t="str">
        <f>IF(AND(VALUE(RIGHT(O256,2))&lt;=controle_formulario!$E$16,H256&lt;=Criterios!$C$31+controle_formulario!$I$16-1),"SIM","NÃO")</f>
        <v>NÃO</v>
      </c>
      <c r="B256" s="198">
        <f t="shared" si="93"/>
        <v>0</v>
      </c>
      <c r="C256" s="198" t="str">
        <f t="shared" si="94"/>
        <v>Formrol</v>
      </c>
      <c r="D256" s="179"/>
      <c r="E256" s="198" t="str">
        <f t="shared" si="95"/>
        <v>Planilha 1</v>
      </c>
      <c r="F256" s="198" t="str">
        <f t="shared" si="96"/>
        <v>Geral</v>
      </c>
      <c r="G256" s="198" t="s">
        <v>22</v>
      </c>
      <c r="H256" s="199">
        <f t="shared" si="121"/>
        <v>2030</v>
      </c>
      <c r="I256" s="200">
        <f t="shared" ca="1" si="121"/>
        <v>36.350592396534239</v>
      </c>
      <c r="J256" s="200" t="str">
        <f>IF(controle_formulario!$C$39=1,controle_formulario!$C$37,controle_formulario!$C$38)</f>
        <v>Epidemiologico Beneficiarios Saude Suplementar</v>
      </c>
      <c r="K256" s="197" t="s">
        <v>157</v>
      </c>
      <c r="L256" s="197" t="str">
        <f t="shared" si="119"/>
        <v>Pirtobrutinibe</v>
      </c>
      <c r="M256" s="201">
        <f t="shared" si="122"/>
        <v>470468.67999999976</v>
      </c>
      <c r="N256" s="201">
        <f t="shared" si="122"/>
        <v>0</v>
      </c>
      <c r="O256" s="197" t="s">
        <v>176</v>
      </c>
      <c r="P256" s="197" t="str">
        <f t="shared" si="120"/>
        <v>Taxa de difusão em X anos: XX%</v>
      </c>
      <c r="Q256" s="202">
        <f>'Market Share'!L44</f>
        <v>0</v>
      </c>
      <c r="R256" s="203">
        <f ca="1">Resumo!I60</f>
        <v>0</v>
      </c>
      <c r="S256" s="204">
        <f ca="1">Resumo!I76</f>
        <v>-4161902.8822933384</v>
      </c>
    </row>
    <row r="257" spans="1:19" x14ac:dyDescent="0.3">
      <c r="A257" s="198" t="str">
        <f>IF(AND(VALUE(RIGHT(O257,2))&lt;=controle_formulario!$E$16,H257&lt;=Criterios!$C$31+controle_formulario!$I$16-1),"SIM","NÃO")</f>
        <v>NÃO</v>
      </c>
      <c r="B257" s="198">
        <f t="shared" si="93"/>
        <v>0</v>
      </c>
      <c r="C257" s="198" t="str">
        <f t="shared" si="94"/>
        <v>Formrol</v>
      </c>
      <c r="D257" s="179"/>
      <c r="E257" s="198" t="str">
        <f t="shared" si="95"/>
        <v>Planilha 1</v>
      </c>
      <c r="F257" s="198" t="str">
        <f t="shared" si="96"/>
        <v>Geral</v>
      </c>
      <c r="G257" s="198" t="s">
        <v>23</v>
      </c>
      <c r="H257" s="199">
        <f t="shared" si="121"/>
        <v>2031</v>
      </c>
      <c r="I257" s="200">
        <f t="shared" si="121"/>
        <v>0</v>
      </c>
      <c r="J257" s="200" t="str">
        <f>IF(controle_formulario!$C$39=1,controle_formulario!$C$37,controle_formulario!$C$38)</f>
        <v>Epidemiologico Beneficiarios Saude Suplementar</v>
      </c>
      <c r="K257" s="197" t="s">
        <v>157</v>
      </c>
      <c r="L257" s="197" t="str">
        <f t="shared" si="119"/>
        <v>Pirtobrutinibe</v>
      </c>
      <c r="M257" s="201">
        <f t="shared" si="122"/>
        <v>470468.67999999976</v>
      </c>
      <c r="N257" s="201">
        <f t="shared" si="122"/>
        <v>0</v>
      </c>
      <c r="O257" s="197" t="s">
        <v>176</v>
      </c>
      <c r="P257" s="197" t="str">
        <f t="shared" si="120"/>
        <v>Taxa de difusão em X anos: XX%</v>
      </c>
      <c r="Q257" s="202">
        <f>'Market Share'!L45</f>
        <v>0</v>
      </c>
      <c r="R257" s="203">
        <f ca="1">Resumo!I61</f>
        <v>0</v>
      </c>
      <c r="S257" s="204">
        <f ca="1">Resumo!I77</f>
        <v>0</v>
      </c>
    </row>
    <row r="258" spans="1:19" x14ac:dyDescent="0.3">
      <c r="A258" s="198" t="str">
        <f>IF(AND(VALUE(RIGHT(O258,2))&lt;=controle_formulario!$E$16,H258&lt;=Criterios!$C$31+controle_formulario!$I$16-1),"SIM","NÃO")</f>
        <v>NÃO</v>
      </c>
      <c r="B258" s="198">
        <f t="shared" si="93"/>
        <v>0</v>
      </c>
      <c r="C258" s="198" t="str">
        <f t="shared" si="94"/>
        <v>Formrol</v>
      </c>
      <c r="D258" s="179"/>
      <c r="E258" s="198" t="str">
        <f t="shared" si="95"/>
        <v>Planilha 1</v>
      </c>
      <c r="F258" s="198" t="str">
        <f t="shared" si="96"/>
        <v>Geral</v>
      </c>
      <c r="G258" s="198" t="s">
        <v>24</v>
      </c>
      <c r="H258" s="199">
        <f t="shared" si="121"/>
        <v>2032</v>
      </c>
      <c r="I258" s="200">
        <f t="shared" si="121"/>
        <v>0</v>
      </c>
      <c r="J258" s="200" t="str">
        <f>IF(controle_formulario!$C$39=1,controle_formulario!$C$37,controle_formulario!$C$38)</f>
        <v>Epidemiologico Beneficiarios Saude Suplementar</v>
      </c>
      <c r="K258" s="197" t="s">
        <v>157</v>
      </c>
      <c r="L258" s="197" t="str">
        <f t="shared" si="119"/>
        <v>Pirtobrutinibe</v>
      </c>
      <c r="M258" s="201">
        <f t="shared" si="122"/>
        <v>470468.67999999976</v>
      </c>
      <c r="N258" s="201">
        <f t="shared" si="122"/>
        <v>0</v>
      </c>
      <c r="O258" s="197" t="s">
        <v>176</v>
      </c>
      <c r="P258" s="197" t="str">
        <f t="shared" si="120"/>
        <v>Taxa de difusão em X anos: XX%</v>
      </c>
      <c r="Q258" s="202">
        <f>'Market Share'!L46</f>
        <v>0</v>
      </c>
      <c r="R258" s="203">
        <f ca="1">Resumo!I62</f>
        <v>0</v>
      </c>
      <c r="S258" s="204">
        <f ca="1">Resumo!I78</f>
        <v>0</v>
      </c>
    </row>
    <row r="259" spans="1:19" x14ac:dyDescent="0.3">
      <c r="A259" s="198" t="str">
        <f>IF(AND(VALUE(RIGHT(O259,2))&lt;=controle_formulario!$E$16,H259&lt;=Criterios!$C$31+controle_formulario!$I$16-1),"SIM","NÃO")</f>
        <v>NÃO</v>
      </c>
      <c r="B259" s="198">
        <f t="shared" ref="B259:B322" si="123">$W$2</f>
        <v>0</v>
      </c>
      <c r="C259" s="198" t="str">
        <f t="shared" ref="C259:C322" si="124">$W$3</f>
        <v>Formrol</v>
      </c>
      <c r="D259" s="179"/>
      <c r="E259" s="198" t="str">
        <f t="shared" ref="E259:E322" si="125">$W$5</f>
        <v>Planilha 1</v>
      </c>
      <c r="F259" s="198" t="str">
        <f t="shared" ref="F259:F322" si="126">$W$6</f>
        <v>Geral</v>
      </c>
      <c r="G259" s="198" t="s">
        <v>25</v>
      </c>
      <c r="H259" s="199">
        <f t="shared" si="121"/>
        <v>2033</v>
      </c>
      <c r="I259" s="200">
        <f t="shared" si="121"/>
        <v>0</v>
      </c>
      <c r="J259" s="200" t="str">
        <f>IF(controle_formulario!$C$39=1,controle_formulario!$C$37,controle_formulario!$C$38)</f>
        <v>Epidemiologico Beneficiarios Saude Suplementar</v>
      </c>
      <c r="K259" s="197" t="s">
        <v>157</v>
      </c>
      <c r="L259" s="197" t="str">
        <f t="shared" si="119"/>
        <v>Pirtobrutinibe</v>
      </c>
      <c r="M259" s="201">
        <f t="shared" si="122"/>
        <v>470468.67999999976</v>
      </c>
      <c r="N259" s="201">
        <f t="shared" si="122"/>
        <v>0</v>
      </c>
      <c r="O259" s="197" t="s">
        <v>176</v>
      </c>
      <c r="P259" s="197" t="str">
        <f t="shared" si="120"/>
        <v>Taxa de difusão em X anos: XX%</v>
      </c>
      <c r="Q259" s="202">
        <f>'Market Share'!L47</f>
        <v>0</v>
      </c>
      <c r="R259" s="203">
        <f ca="1">Resumo!I63</f>
        <v>0</v>
      </c>
      <c r="S259" s="204">
        <f ca="1">Resumo!I79</f>
        <v>0</v>
      </c>
    </row>
    <row r="260" spans="1:19" x14ac:dyDescent="0.3">
      <c r="A260" s="198" t="str">
        <f>IF(AND(VALUE(RIGHT(O260,2))&lt;=controle_formulario!$E$16,H260&lt;=Criterios!$C$31+controle_formulario!$I$16-1),"SIM","NÃO")</f>
        <v>NÃO</v>
      </c>
      <c r="B260" s="198">
        <f t="shared" si="123"/>
        <v>0</v>
      </c>
      <c r="C260" s="198" t="str">
        <f t="shared" si="124"/>
        <v>Formrol</v>
      </c>
      <c r="D260" s="179"/>
      <c r="E260" s="198" t="str">
        <f t="shared" si="125"/>
        <v>Planilha 1</v>
      </c>
      <c r="F260" s="198" t="str">
        <f t="shared" si="126"/>
        <v>Geral</v>
      </c>
      <c r="G260" s="198" t="s">
        <v>26</v>
      </c>
      <c r="H260" s="199">
        <f t="shared" si="121"/>
        <v>2034</v>
      </c>
      <c r="I260" s="200">
        <f t="shared" si="121"/>
        <v>0</v>
      </c>
      <c r="J260" s="200" t="str">
        <f>IF(controle_formulario!$C$39=1,controle_formulario!$C$37,controle_formulario!$C$38)</f>
        <v>Epidemiologico Beneficiarios Saude Suplementar</v>
      </c>
      <c r="K260" s="197" t="s">
        <v>157</v>
      </c>
      <c r="L260" s="197" t="str">
        <f t="shared" si="119"/>
        <v>Pirtobrutinibe</v>
      </c>
      <c r="M260" s="201">
        <f t="shared" si="122"/>
        <v>470468.67999999976</v>
      </c>
      <c r="N260" s="201">
        <f t="shared" si="122"/>
        <v>0</v>
      </c>
      <c r="O260" s="197" t="s">
        <v>176</v>
      </c>
      <c r="P260" s="197" t="str">
        <f t="shared" si="120"/>
        <v>Taxa de difusão em X anos: XX%</v>
      </c>
      <c r="Q260" s="202">
        <f>'Market Share'!L48</f>
        <v>0</v>
      </c>
      <c r="R260" s="203">
        <f ca="1">Resumo!I64</f>
        <v>0</v>
      </c>
      <c r="S260" s="204">
        <f ca="1">Resumo!I80</f>
        <v>0</v>
      </c>
    </row>
    <row r="261" spans="1:19" ht="15" thickBot="1" x14ac:dyDescent="0.35">
      <c r="A261" s="205" t="str">
        <f>IF(AND(VALUE(RIGHT(O261,2))&lt;=controle_formulario!$E$16,H261&lt;=Criterios!$C$31+controle_formulario!$I$16-1),"SIM","NÃO")</f>
        <v>NÃO</v>
      </c>
      <c r="B261" s="205">
        <f t="shared" si="123"/>
        <v>0</v>
      </c>
      <c r="C261" s="205" t="str">
        <f t="shared" si="124"/>
        <v>Formrol</v>
      </c>
      <c r="D261" s="180"/>
      <c r="E261" s="205" t="str">
        <f t="shared" si="125"/>
        <v>Planilha 1</v>
      </c>
      <c r="F261" s="205" t="str">
        <f t="shared" si="126"/>
        <v>Geral</v>
      </c>
      <c r="G261" s="205" t="s">
        <v>27</v>
      </c>
      <c r="H261" s="212">
        <f t="shared" si="121"/>
        <v>2035</v>
      </c>
      <c r="I261" s="213">
        <f t="shared" si="121"/>
        <v>0</v>
      </c>
      <c r="J261" s="207" t="str">
        <f>IF(controle_formulario!$C$39=1,controle_formulario!$C$37,controle_formulario!$C$38)</f>
        <v>Epidemiologico Beneficiarios Saude Suplementar</v>
      </c>
      <c r="K261" s="208" t="s">
        <v>157</v>
      </c>
      <c r="L261" s="208" t="str">
        <f t="shared" si="119"/>
        <v>Pirtobrutinibe</v>
      </c>
      <c r="M261" s="201">
        <f t="shared" si="122"/>
        <v>470468.67999999976</v>
      </c>
      <c r="N261" s="201">
        <f t="shared" si="122"/>
        <v>0</v>
      </c>
      <c r="O261" s="214" t="s">
        <v>176</v>
      </c>
      <c r="P261" s="214" t="str">
        <f t="shared" si="120"/>
        <v>Taxa de difusão em X anos: XX%</v>
      </c>
      <c r="Q261" s="215">
        <f>'Market Share'!L49</f>
        <v>0</v>
      </c>
      <c r="R261" s="216">
        <f ca="1">Resumo!I65</f>
        <v>0</v>
      </c>
      <c r="S261" s="217">
        <f ca="1">Resumo!I81</f>
        <v>0</v>
      </c>
    </row>
    <row r="262" spans="1:19" x14ac:dyDescent="0.3">
      <c r="A262" s="189" t="str">
        <f>IF(AND(VALUE(RIGHT(O262,2))&lt;=controle_formulario!$E$16,VALUE(RIGHT(K262,2))&lt;=controle_formulario!$C$10,H262&lt;=Criterios!$C$31+controle_formulario!$I$16-1),"SIM","NÃO")</f>
        <v>NÃO</v>
      </c>
      <c r="B262" s="189">
        <f t="shared" si="123"/>
        <v>0</v>
      </c>
      <c r="C262" s="189" t="str">
        <f t="shared" si="124"/>
        <v>Formrol</v>
      </c>
      <c r="D262" s="177"/>
      <c r="E262" s="189" t="str">
        <f t="shared" si="125"/>
        <v>Planilha 1</v>
      </c>
      <c r="F262" s="189" t="str">
        <f t="shared" si="126"/>
        <v>Geral</v>
      </c>
      <c r="G262" s="189" t="s">
        <v>18</v>
      </c>
      <c r="H262" s="190">
        <f>H252</f>
        <v>2026</v>
      </c>
      <c r="I262" s="191">
        <f ca="1">I252</f>
        <v>35.902021176061034</v>
      </c>
      <c r="J262" s="191" t="str">
        <f>IF(controle_formulario!$C$39=1,controle_formulario!$C$37,controle_formulario!$C$38)</f>
        <v>Epidemiologico Beneficiarios Saude Suplementar</v>
      </c>
      <c r="K262" s="192" t="s">
        <v>168</v>
      </c>
      <c r="L262" s="192" t="str">
        <f t="shared" ref="L262:L271" si="127">trat.a</f>
        <v xml:space="preserve"> Conjunto de Tratamentos-Padrão</v>
      </c>
      <c r="M262" s="193" t="e">
        <f>Resumo!$D$39</f>
        <v>#REF!</v>
      </c>
      <c r="N262" s="193">
        <f>Resumo!$D$48</f>
        <v>0</v>
      </c>
      <c r="O262" s="192" t="s">
        <v>176</v>
      </c>
      <c r="P262" s="192" t="str">
        <f t="shared" si="120"/>
        <v>Taxa de difusão em X anos: XX%</v>
      </c>
      <c r="Q262" s="194">
        <f>'Market Share'!M40</f>
        <v>0</v>
      </c>
      <c r="R262" s="195">
        <f ca="1">R252</f>
        <v>0</v>
      </c>
      <c r="S262" s="196">
        <f ca="1">S252</f>
        <v>-4110544.4385289042</v>
      </c>
    </row>
    <row r="263" spans="1:19" x14ac:dyDescent="0.3">
      <c r="A263" s="198" t="str">
        <f>IF(AND(VALUE(RIGHT(O263,2))&lt;=controle_formulario!$E$16,VALUE(RIGHT(K263,2))&lt;=controle_formulario!$C$10,H263&lt;=Criterios!$C$31+controle_formulario!$I$16-1),"SIM","NÃO")</f>
        <v>NÃO</v>
      </c>
      <c r="B263" s="198">
        <f t="shared" si="123"/>
        <v>0</v>
      </c>
      <c r="C263" s="198" t="str">
        <f t="shared" si="124"/>
        <v>Formrol</v>
      </c>
      <c r="D263" s="179"/>
      <c r="E263" s="198" t="str">
        <f t="shared" si="125"/>
        <v>Planilha 1</v>
      </c>
      <c r="F263" s="198" t="str">
        <f t="shared" si="126"/>
        <v>Geral</v>
      </c>
      <c r="G263" s="198" t="s">
        <v>19</v>
      </c>
      <c r="H263" s="199">
        <f t="shared" ref="H263:I271" si="128">H253</f>
        <v>2027</v>
      </c>
      <c r="I263" s="200">
        <f t="shared" ca="1" si="128"/>
        <v>36.027114594978322</v>
      </c>
      <c r="J263" s="200" t="str">
        <f>IF(controle_formulario!$C$39=1,controle_formulario!$C$37,controle_formulario!$C$38)</f>
        <v>Epidemiologico Beneficiarios Saude Suplementar</v>
      </c>
      <c r="K263" s="197" t="s">
        <v>168</v>
      </c>
      <c r="L263" s="197" t="str">
        <f t="shared" si="127"/>
        <v xml:space="preserve"> Conjunto de Tratamentos-Padrão</v>
      </c>
      <c r="M263" s="201" t="e">
        <f>M262</f>
        <v>#REF!</v>
      </c>
      <c r="N263" s="201">
        <f>N262</f>
        <v>0</v>
      </c>
      <c r="O263" s="197" t="s">
        <v>176</v>
      </c>
      <c r="P263" s="197" t="str">
        <f t="shared" si="120"/>
        <v>Taxa de difusão em X anos: XX%</v>
      </c>
      <c r="Q263" s="202">
        <f>'Market Share'!M41</f>
        <v>0</v>
      </c>
      <c r="R263" s="203">
        <f t="shared" ref="R263:S271" ca="1" si="129">R253</f>
        <v>0</v>
      </c>
      <c r="S263" s="204">
        <f t="shared" ca="1" si="129"/>
        <v>-4124866.8092641174</v>
      </c>
    </row>
    <row r="264" spans="1:19" x14ac:dyDescent="0.3">
      <c r="A264" s="198" t="str">
        <f>IF(AND(VALUE(RIGHT(O264,2))&lt;=controle_formulario!$E$16,VALUE(RIGHT(K264,2))&lt;=controle_formulario!$C$10,H264&lt;=Criterios!$C$31+controle_formulario!$I$16-1),"SIM","NÃO")</f>
        <v>NÃO</v>
      </c>
      <c r="B264" s="198">
        <f t="shared" si="123"/>
        <v>0</v>
      </c>
      <c r="C264" s="198" t="str">
        <f t="shared" si="124"/>
        <v>Formrol</v>
      </c>
      <c r="D264" s="179"/>
      <c r="E264" s="198" t="str">
        <f t="shared" si="125"/>
        <v>Planilha 1</v>
      </c>
      <c r="F264" s="198" t="str">
        <f t="shared" si="126"/>
        <v>Geral</v>
      </c>
      <c r="G264" s="198" t="s">
        <v>20</v>
      </c>
      <c r="H264" s="199">
        <f t="shared" si="128"/>
        <v>2028</v>
      </c>
      <c r="I264" s="200">
        <f t="shared" ca="1" si="128"/>
        <v>36.142742272880319</v>
      </c>
      <c r="J264" s="200" t="str">
        <f>IF(controle_formulario!$C$39=1,controle_formulario!$C$37,controle_formulario!$C$38)</f>
        <v>Epidemiologico Beneficiarios Saude Suplementar</v>
      </c>
      <c r="K264" s="197" t="s">
        <v>168</v>
      </c>
      <c r="L264" s="197" t="str">
        <f t="shared" si="127"/>
        <v xml:space="preserve"> Conjunto de Tratamentos-Padrão</v>
      </c>
      <c r="M264" s="201" t="e">
        <f t="shared" ref="M264:N271" si="130">M263</f>
        <v>#REF!</v>
      </c>
      <c r="N264" s="201">
        <f t="shared" si="130"/>
        <v>0</v>
      </c>
      <c r="O264" s="197" t="s">
        <v>176</v>
      </c>
      <c r="P264" s="197" t="str">
        <f t="shared" si="120"/>
        <v>Taxa de difusão em X anos: XX%</v>
      </c>
      <c r="Q264" s="202">
        <f>'Market Share'!M42</f>
        <v>0</v>
      </c>
      <c r="R264" s="203">
        <f t="shared" ca="1" si="129"/>
        <v>0</v>
      </c>
      <c r="S264" s="204">
        <f t="shared" ca="1" si="129"/>
        <v>-4138105.4151356164</v>
      </c>
    </row>
    <row r="265" spans="1:19" x14ac:dyDescent="0.3">
      <c r="A265" s="198" t="str">
        <f>IF(AND(VALUE(RIGHT(O265,2))&lt;=controle_formulario!$E$16,VALUE(RIGHT(K265,2))&lt;=controle_formulario!$C$10,H265&lt;=Criterios!$C$31+controle_formulario!$I$16-1),"SIM","NÃO")</f>
        <v>NÃO</v>
      </c>
      <c r="B265" s="198">
        <f t="shared" si="123"/>
        <v>0</v>
      </c>
      <c r="C265" s="198" t="str">
        <f t="shared" si="124"/>
        <v>Formrol</v>
      </c>
      <c r="D265" s="179"/>
      <c r="E265" s="198" t="str">
        <f t="shared" si="125"/>
        <v>Planilha 1</v>
      </c>
      <c r="F265" s="198" t="str">
        <f t="shared" si="126"/>
        <v>Geral</v>
      </c>
      <c r="G265" s="198" t="s">
        <v>21</v>
      </c>
      <c r="H265" s="199">
        <f t="shared" si="128"/>
        <v>2029</v>
      </c>
      <c r="I265" s="200">
        <f t="shared" ca="1" si="128"/>
        <v>36.250027878529522</v>
      </c>
      <c r="J265" s="200" t="str">
        <f>IF(controle_formulario!$C$39=1,controle_formulario!$C$37,controle_formulario!$C$38)</f>
        <v>Epidemiologico Beneficiarios Saude Suplementar</v>
      </c>
      <c r="K265" s="197" t="s">
        <v>168</v>
      </c>
      <c r="L265" s="197" t="str">
        <f t="shared" si="127"/>
        <v xml:space="preserve"> Conjunto de Tratamentos-Padrão</v>
      </c>
      <c r="M265" s="201" t="e">
        <f t="shared" si="130"/>
        <v>#REF!</v>
      </c>
      <c r="N265" s="201">
        <f t="shared" si="130"/>
        <v>0</v>
      </c>
      <c r="O265" s="197" t="s">
        <v>176</v>
      </c>
      <c r="P265" s="197" t="str">
        <f t="shared" si="120"/>
        <v>Taxa de difusão em X anos: XX%</v>
      </c>
      <c r="Q265" s="202">
        <f>'Market Share'!M43</f>
        <v>0</v>
      </c>
      <c r="R265" s="203">
        <f t="shared" ca="1" si="129"/>
        <v>0</v>
      </c>
      <c r="S265" s="204">
        <f t="shared" ca="1" si="129"/>
        <v>-4150388.9087994657</v>
      </c>
    </row>
    <row r="266" spans="1:19" x14ac:dyDescent="0.3">
      <c r="A266" s="198" t="str">
        <f>IF(AND(VALUE(RIGHT(O266,2))&lt;=controle_formulario!$E$16,VALUE(RIGHT(K266,2))&lt;=controle_formulario!$C$10,H266&lt;=Criterios!$C$31+controle_formulario!$I$16-1),"SIM","NÃO")</f>
        <v>NÃO</v>
      </c>
      <c r="B266" s="198">
        <f t="shared" si="123"/>
        <v>0</v>
      </c>
      <c r="C266" s="198" t="str">
        <f t="shared" si="124"/>
        <v>Formrol</v>
      </c>
      <c r="D266" s="179"/>
      <c r="E266" s="198" t="str">
        <f t="shared" si="125"/>
        <v>Planilha 1</v>
      </c>
      <c r="F266" s="198" t="str">
        <f t="shared" si="126"/>
        <v>Geral</v>
      </c>
      <c r="G266" s="198" t="s">
        <v>22</v>
      </c>
      <c r="H266" s="199">
        <f t="shared" si="128"/>
        <v>2030</v>
      </c>
      <c r="I266" s="200">
        <f t="shared" ca="1" si="128"/>
        <v>36.350592396534239</v>
      </c>
      <c r="J266" s="200" t="str">
        <f>IF(controle_formulario!$C$39=1,controle_formulario!$C$37,controle_formulario!$C$38)</f>
        <v>Epidemiologico Beneficiarios Saude Suplementar</v>
      </c>
      <c r="K266" s="197" t="s">
        <v>168</v>
      </c>
      <c r="L266" s="197" t="str">
        <f t="shared" si="127"/>
        <v xml:space="preserve"> Conjunto de Tratamentos-Padrão</v>
      </c>
      <c r="M266" s="201" t="e">
        <f t="shared" si="130"/>
        <v>#REF!</v>
      </c>
      <c r="N266" s="201">
        <f t="shared" si="130"/>
        <v>0</v>
      </c>
      <c r="O266" s="197" t="s">
        <v>176</v>
      </c>
      <c r="P266" s="197" t="str">
        <f t="shared" si="120"/>
        <v>Taxa de difusão em X anos: XX%</v>
      </c>
      <c r="Q266" s="202">
        <f>'Market Share'!M44</f>
        <v>0</v>
      </c>
      <c r="R266" s="203">
        <f t="shared" ca="1" si="129"/>
        <v>0</v>
      </c>
      <c r="S266" s="204">
        <f t="shared" ca="1" si="129"/>
        <v>-4161902.8822933384</v>
      </c>
    </row>
    <row r="267" spans="1:19" x14ac:dyDescent="0.3">
      <c r="A267" s="198" t="str">
        <f>IF(AND(VALUE(RIGHT(O267,2))&lt;=controle_formulario!$E$16,VALUE(RIGHT(K267,2))&lt;=controle_formulario!$C$10,H267&lt;=Criterios!$C$31+controle_formulario!$I$16-1),"SIM","NÃO")</f>
        <v>NÃO</v>
      </c>
      <c r="B267" s="198">
        <f t="shared" si="123"/>
        <v>0</v>
      </c>
      <c r="C267" s="198" t="str">
        <f t="shared" si="124"/>
        <v>Formrol</v>
      </c>
      <c r="D267" s="179"/>
      <c r="E267" s="198" t="str">
        <f t="shared" si="125"/>
        <v>Planilha 1</v>
      </c>
      <c r="F267" s="198" t="str">
        <f t="shared" si="126"/>
        <v>Geral</v>
      </c>
      <c r="G267" s="198" t="s">
        <v>23</v>
      </c>
      <c r="H267" s="199">
        <f t="shared" si="128"/>
        <v>2031</v>
      </c>
      <c r="I267" s="200">
        <f t="shared" si="128"/>
        <v>0</v>
      </c>
      <c r="J267" s="200" t="str">
        <f>IF(controle_formulario!$C$39=1,controle_formulario!$C$37,controle_formulario!$C$38)</f>
        <v>Epidemiologico Beneficiarios Saude Suplementar</v>
      </c>
      <c r="K267" s="197" t="s">
        <v>168</v>
      </c>
      <c r="L267" s="197" t="str">
        <f t="shared" si="127"/>
        <v xml:space="preserve"> Conjunto de Tratamentos-Padrão</v>
      </c>
      <c r="M267" s="201" t="e">
        <f t="shared" si="130"/>
        <v>#REF!</v>
      </c>
      <c r="N267" s="201">
        <f t="shared" si="130"/>
        <v>0</v>
      </c>
      <c r="O267" s="197" t="s">
        <v>176</v>
      </c>
      <c r="P267" s="197" t="str">
        <f t="shared" si="120"/>
        <v>Taxa de difusão em X anos: XX%</v>
      </c>
      <c r="Q267" s="202">
        <f>'Market Share'!M45</f>
        <v>0</v>
      </c>
      <c r="R267" s="203">
        <f t="shared" ca="1" si="129"/>
        <v>0</v>
      </c>
      <c r="S267" s="204">
        <f t="shared" ca="1" si="129"/>
        <v>0</v>
      </c>
    </row>
    <row r="268" spans="1:19" x14ac:dyDescent="0.3">
      <c r="A268" s="198" t="str">
        <f>IF(AND(VALUE(RIGHT(O268,2))&lt;=controle_formulario!$E$16,VALUE(RIGHT(K268,2))&lt;=controle_formulario!$C$10,H268&lt;=Criterios!$C$31+controle_formulario!$I$16-1),"SIM","NÃO")</f>
        <v>NÃO</v>
      </c>
      <c r="B268" s="198">
        <f t="shared" si="123"/>
        <v>0</v>
      </c>
      <c r="C268" s="198" t="str">
        <f t="shared" si="124"/>
        <v>Formrol</v>
      </c>
      <c r="D268" s="179"/>
      <c r="E268" s="198" t="str">
        <f t="shared" si="125"/>
        <v>Planilha 1</v>
      </c>
      <c r="F268" s="198" t="str">
        <f t="shared" si="126"/>
        <v>Geral</v>
      </c>
      <c r="G268" s="198" t="s">
        <v>24</v>
      </c>
      <c r="H268" s="199">
        <f t="shared" si="128"/>
        <v>2032</v>
      </c>
      <c r="I268" s="200">
        <f t="shared" si="128"/>
        <v>0</v>
      </c>
      <c r="J268" s="200" t="str">
        <f>IF(controle_formulario!$C$39=1,controle_formulario!$C$37,controle_formulario!$C$38)</f>
        <v>Epidemiologico Beneficiarios Saude Suplementar</v>
      </c>
      <c r="K268" s="197" t="s">
        <v>168</v>
      </c>
      <c r="L268" s="197" t="str">
        <f t="shared" si="127"/>
        <v xml:space="preserve"> Conjunto de Tratamentos-Padrão</v>
      </c>
      <c r="M268" s="201" t="e">
        <f t="shared" si="130"/>
        <v>#REF!</v>
      </c>
      <c r="N268" s="201">
        <f t="shared" si="130"/>
        <v>0</v>
      </c>
      <c r="O268" s="197" t="s">
        <v>176</v>
      </c>
      <c r="P268" s="197" t="str">
        <f t="shared" si="120"/>
        <v>Taxa de difusão em X anos: XX%</v>
      </c>
      <c r="Q268" s="202">
        <f>'Market Share'!M46</f>
        <v>0</v>
      </c>
      <c r="R268" s="203">
        <f t="shared" ca="1" si="129"/>
        <v>0</v>
      </c>
      <c r="S268" s="204">
        <f t="shared" ca="1" si="129"/>
        <v>0</v>
      </c>
    </row>
    <row r="269" spans="1:19" x14ac:dyDescent="0.3">
      <c r="A269" s="198" t="str">
        <f>IF(AND(VALUE(RIGHT(O269,2))&lt;=controle_formulario!$E$16,VALUE(RIGHT(K269,2))&lt;=controle_formulario!$C$10,H269&lt;=Criterios!$C$31+controle_formulario!$I$16-1),"SIM","NÃO")</f>
        <v>NÃO</v>
      </c>
      <c r="B269" s="198">
        <f t="shared" si="123"/>
        <v>0</v>
      </c>
      <c r="C269" s="198" t="str">
        <f t="shared" si="124"/>
        <v>Formrol</v>
      </c>
      <c r="D269" s="179"/>
      <c r="E269" s="198" t="str">
        <f t="shared" si="125"/>
        <v>Planilha 1</v>
      </c>
      <c r="F269" s="198" t="str">
        <f t="shared" si="126"/>
        <v>Geral</v>
      </c>
      <c r="G269" s="198" t="s">
        <v>25</v>
      </c>
      <c r="H269" s="199">
        <f t="shared" si="128"/>
        <v>2033</v>
      </c>
      <c r="I269" s="200">
        <f t="shared" si="128"/>
        <v>0</v>
      </c>
      <c r="J269" s="200" t="str">
        <f>IF(controle_formulario!$C$39=1,controle_formulario!$C$37,controle_formulario!$C$38)</f>
        <v>Epidemiologico Beneficiarios Saude Suplementar</v>
      </c>
      <c r="K269" s="197" t="s">
        <v>168</v>
      </c>
      <c r="L269" s="197" t="str">
        <f t="shared" si="127"/>
        <v xml:space="preserve"> Conjunto de Tratamentos-Padrão</v>
      </c>
      <c r="M269" s="201" t="e">
        <f t="shared" si="130"/>
        <v>#REF!</v>
      </c>
      <c r="N269" s="201">
        <f t="shared" si="130"/>
        <v>0</v>
      </c>
      <c r="O269" s="197" t="s">
        <v>176</v>
      </c>
      <c r="P269" s="197" t="str">
        <f t="shared" si="120"/>
        <v>Taxa de difusão em X anos: XX%</v>
      </c>
      <c r="Q269" s="202">
        <f>'Market Share'!M47</f>
        <v>0</v>
      </c>
      <c r="R269" s="203">
        <f t="shared" ca="1" si="129"/>
        <v>0</v>
      </c>
      <c r="S269" s="204">
        <f t="shared" ca="1" si="129"/>
        <v>0</v>
      </c>
    </row>
    <row r="270" spans="1:19" x14ac:dyDescent="0.3">
      <c r="A270" s="198" t="str">
        <f>IF(AND(VALUE(RIGHT(O270,2))&lt;=controle_formulario!$E$16,VALUE(RIGHT(K270,2))&lt;=controle_formulario!$C$10,H270&lt;=Criterios!$C$31+controle_formulario!$I$16-1),"SIM","NÃO")</f>
        <v>NÃO</v>
      </c>
      <c r="B270" s="198">
        <f t="shared" si="123"/>
        <v>0</v>
      </c>
      <c r="C270" s="198" t="str">
        <f t="shared" si="124"/>
        <v>Formrol</v>
      </c>
      <c r="D270" s="179"/>
      <c r="E270" s="198" t="str">
        <f t="shared" si="125"/>
        <v>Planilha 1</v>
      </c>
      <c r="F270" s="198" t="str">
        <f t="shared" si="126"/>
        <v>Geral</v>
      </c>
      <c r="G270" s="198" t="s">
        <v>26</v>
      </c>
      <c r="H270" s="199">
        <f t="shared" si="128"/>
        <v>2034</v>
      </c>
      <c r="I270" s="200">
        <f t="shared" si="128"/>
        <v>0</v>
      </c>
      <c r="J270" s="200" t="str">
        <f>IF(controle_formulario!$C$39=1,controle_formulario!$C$37,controle_formulario!$C$38)</f>
        <v>Epidemiologico Beneficiarios Saude Suplementar</v>
      </c>
      <c r="K270" s="197" t="s">
        <v>168</v>
      </c>
      <c r="L270" s="197" t="str">
        <f t="shared" si="127"/>
        <v xml:space="preserve"> Conjunto de Tratamentos-Padrão</v>
      </c>
      <c r="M270" s="201" t="e">
        <f t="shared" si="130"/>
        <v>#REF!</v>
      </c>
      <c r="N270" s="201">
        <f t="shared" si="130"/>
        <v>0</v>
      </c>
      <c r="O270" s="197" t="s">
        <v>176</v>
      </c>
      <c r="P270" s="197" t="str">
        <f t="shared" si="120"/>
        <v>Taxa de difusão em X anos: XX%</v>
      </c>
      <c r="Q270" s="202">
        <f>'Market Share'!M48</f>
        <v>0</v>
      </c>
      <c r="R270" s="203">
        <f t="shared" ca="1" si="129"/>
        <v>0</v>
      </c>
      <c r="S270" s="204">
        <f t="shared" ca="1" si="129"/>
        <v>0</v>
      </c>
    </row>
    <row r="271" spans="1:19" ht="15" thickBot="1" x14ac:dyDescent="0.35">
      <c r="A271" s="205" t="str">
        <f>IF(AND(VALUE(RIGHT(O271,2))&lt;=controle_formulario!$E$16,VALUE(RIGHT(K271,2))&lt;=controle_formulario!$C$10,H271&lt;=Criterios!$C$31+controle_formulario!$I$16-1),"SIM","NÃO")</f>
        <v>NÃO</v>
      </c>
      <c r="B271" s="205">
        <f t="shared" si="123"/>
        <v>0</v>
      </c>
      <c r="C271" s="205" t="str">
        <f t="shared" si="124"/>
        <v>Formrol</v>
      </c>
      <c r="D271" s="180"/>
      <c r="E271" s="205" t="str">
        <f t="shared" si="125"/>
        <v>Planilha 1</v>
      </c>
      <c r="F271" s="205" t="str">
        <f t="shared" si="126"/>
        <v>Geral</v>
      </c>
      <c r="G271" s="205" t="s">
        <v>27</v>
      </c>
      <c r="H271" s="212">
        <f t="shared" si="128"/>
        <v>2035</v>
      </c>
      <c r="I271" s="213">
        <f t="shared" si="128"/>
        <v>0</v>
      </c>
      <c r="J271" s="207" t="str">
        <f>IF(controle_formulario!$C$39=1,controle_formulario!$C$37,controle_formulario!$C$38)</f>
        <v>Epidemiologico Beneficiarios Saude Suplementar</v>
      </c>
      <c r="K271" s="208" t="s">
        <v>168</v>
      </c>
      <c r="L271" s="208" t="str">
        <f t="shared" si="127"/>
        <v xml:space="preserve"> Conjunto de Tratamentos-Padrão</v>
      </c>
      <c r="M271" s="201" t="e">
        <f t="shared" si="130"/>
        <v>#REF!</v>
      </c>
      <c r="N271" s="201">
        <f t="shared" si="130"/>
        <v>0</v>
      </c>
      <c r="O271" s="214" t="s">
        <v>176</v>
      </c>
      <c r="P271" s="214" t="str">
        <f t="shared" si="120"/>
        <v>Taxa de difusão em X anos: XX%</v>
      </c>
      <c r="Q271" s="215">
        <f>'Market Share'!M49</f>
        <v>0</v>
      </c>
      <c r="R271" s="216">
        <f t="shared" ca="1" si="129"/>
        <v>0</v>
      </c>
      <c r="S271" s="217">
        <f t="shared" ca="1" si="129"/>
        <v>0</v>
      </c>
    </row>
    <row r="272" spans="1:19" x14ac:dyDescent="0.3">
      <c r="A272" s="189" t="str">
        <f>IF(AND(VALUE(RIGHT(O272,2))&lt;=controle_formulario!$E$16,VALUE(RIGHT(K272,2))&lt;=controle_formulario!$C$10,H272&lt;=Criterios!$C$31+controle_formulario!$I$16-1),"SIM","NÃO")</f>
        <v>NÃO</v>
      </c>
      <c r="B272" s="189">
        <f t="shared" si="123"/>
        <v>0</v>
      </c>
      <c r="C272" s="189" t="str">
        <f t="shared" si="124"/>
        <v>Formrol</v>
      </c>
      <c r="D272" s="177"/>
      <c r="E272" s="189" t="str">
        <f t="shared" si="125"/>
        <v>Planilha 1</v>
      </c>
      <c r="F272" s="189" t="str">
        <f t="shared" si="126"/>
        <v>Geral</v>
      </c>
      <c r="G272" s="189" t="s">
        <v>18</v>
      </c>
      <c r="H272" s="190">
        <f>H262</f>
        <v>2026</v>
      </c>
      <c r="I272" s="191">
        <f ca="1">I262</f>
        <v>35.902021176061034</v>
      </c>
      <c r="J272" s="191" t="str">
        <f>IF(controle_formulario!$C$39=1,controle_formulario!$C$37,controle_formulario!$C$38)</f>
        <v>Epidemiologico Beneficiarios Saude Suplementar</v>
      </c>
      <c r="K272" s="192" t="s">
        <v>169</v>
      </c>
      <c r="L272" s="192">
        <f t="shared" ref="L272:L281" si="131">trat.b</f>
        <v>0</v>
      </c>
      <c r="M272" s="193">
        <f>Resumo!$D$40</f>
        <v>0</v>
      </c>
      <c r="N272" s="193">
        <f>Resumo!$D$49</f>
        <v>0</v>
      </c>
      <c r="O272" s="192" t="s">
        <v>176</v>
      </c>
      <c r="P272" s="192" t="str">
        <f t="shared" si="120"/>
        <v>Taxa de difusão em X anos: XX%</v>
      </c>
      <c r="Q272" s="194">
        <f>'Market Share'!N40</f>
        <v>0</v>
      </c>
      <c r="R272" s="195">
        <f ca="1">R262</f>
        <v>0</v>
      </c>
      <c r="S272" s="196">
        <f ca="1">S262</f>
        <v>-4110544.4385289042</v>
      </c>
    </row>
    <row r="273" spans="1:19" x14ac:dyDescent="0.3">
      <c r="A273" s="198" t="str">
        <f>IF(AND(VALUE(RIGHT(O273,2))&lt;=controle_formulario!$E$16,VALUE(RIGHT(K273,2))&lt;=controle_formulario!$C$10,H273&lt;=Criterios!$C$31+controle_formulario!$I$16-1),"SIM","NÃO")</f>
        <v>NÃO</v>
      </c>
      <c r="B273" s="198">
        <f t="shared" si="123"/>
        <v>0</v>
      </c>
      <c r="C273" s="198" t="str">
        <f t="shared" si="124"/>
        <v>Formrol</v>
      </c>
      <c r="D273" s="179"/>
      <c r="E273" s="198" t="str">
        <f t="shared" si="125"/>
        <v>Planilha 1</v>
      </c>
      <c r="F273" s="198" t="str">
        <f t="shared" si="126"/>
        <v>Geral</v>
      </c>
      <c r="G273" s="198" t="s">
        <v>19</v>
      </c>
      <c r="H273" s="199">
        <f t="shared" ref="H273:I281" si="132">H263</f>
        <v>2027</v>
      </c>
      <c r="I273" s="200">
        <f t="shared" ca="1" si="132"/>
        <v>36.027114594978322</v>
      </c>
      <c r="J273" s="200" t="str">
        <f>IF(controle_formulario!$C$39=1,controle_formulario!$C$37,controle_formulario!$C$38)</f>
        <v>Epidemiologico Beneficiarios Saude Suplementar</v>
      </c>
      <c r="K273" s="197" t="s">
        <v>169</v>
      </c>
      <c r="L273" s="197">
        <f t="shared" si="131"/>
        <v>0</v>
      </c>
      <c r="M273" s="201">
        <f>M272</f>
        <v>0</v>
      </c>
      <c r="N273" s="201">
        <f>N272</f>
        <v>0</v>
      </c>
      <c r="O273" s="197" t="s">
        <v>176</v>
      </c>
      <c r="P273" s="197" t="str">
        <f t="shared" si="120"/>
        <v>Taxa de difusão em X anos: XX%</v>
      </c>
      <c r="Q273" s="202">
        <f>'Market Share'!N41</f>
        <v>0</v>
      </c>
      <c r="R273" s="203">
        <f t="shared" ref="R273:S281" ca="1" si="133">R263</f>
        <v>0</v>
      </c>
      <c r="S273" s="204">
        <f t="shared" ca="1" si="133"/>
        <v>-4124866.8092641174</v>
      </c>
    </row>
    <row r="274" spans="1:19" x14ac:dyDescent="0.3">
      <c r="A274" s="198" t="str">
        <f>IF(AND(VALUE(RIGHT(O274,2))&lt;=controle_formulario!$E$16,VALUE(RIGHT(K274,2))&lt;=controle_formulario!$C$10,H274&lt;=Criterios!$C$31+controle_formulario!$I$16-1),"SIM","NÃO")</f>
        <v>NÃO</v>
      </c>
      <c r="B274" s="198">
        <f t="shared" si="123"/>
        <v>0</v>
      </c>
      <c r="C274" s="198" t="str">
        <f t="shared" si="124"/>
        <v>Formrol</v>
      </c>
      <c r="D274" s="179"/>
      <c r="E274" s="198" t="str">
        <f t="shared" si="125"/>
        <v>Planilha 1</v>
      </c>
      <c r="F274" s="198" t="str">
        <f t="shared" si="126"/>
        <v>Geral</v>
      </c>
      <c r="G274" s="198" t="s">
        <v>20</v>
      </c>
      <c r="H274" s="199">
        <f t="shared" si="132"/>
        <v>2028</v>
      </c>
      <c r="I274" s="200">
        <f t="shared" ca="1" si="132"/>
        <v>36.142742272880319</v>
      </c>
      <c r="J274" s="200" t="str">
        <f>IF(controle_formulario!$C$39=1,controle_formulario!$C$37,controle_formulario!$C$38)</f>
        <v>Epidemiologico Beneficiarios Saude Suplementar</v>
      </c>
      <c r="K274" s="197" t="s">
        <v>169</v>
      </c>
      <c r="L274" s="197">
        <f t="shared" si="131"/>
        <v>0</v>
      </c>
      <c r="M274" s="201">
        <f t="shared" ref="M274:N281" si="134">M273</f>
        <v>0</v>
      </c>
      <c r="N274" s="201">
        <f t="shared" si="134"/>
        <v>0</v>
      </c>
      <c r="O274" s="197" t="s">
        <v>176</v>
      </c>
      <c r="P274" s="197" t="str">
        <f t="shared" si="120"/>
        <v>Taxa de difusão em X anos: XX%</v>
      </c>
      <c r="Q274" s="202">
        <f>'Market Share'!N42</f>
        <v>0</v>
      </c>
      <c r="R274" s="203">
        <f t="shared" ca="1" si="133"/>
        <v>0</v>
      </c>
      <c r="S274" s="204">
        <f t="shared" ca="1" si="133"/>
        <v>-4138105.4151356164</v>
      </c>
    </row>
    <row r="275" spans="1:19" x14ac:dyDescent="0.3">
      <c r="A275" s="198" t="str">
        <f>IF(AND(VALUE(RIGHT(O275,2))&lt;=controle_formulario!$E$16,VALUE(RIGHT(K275,2))&lt;=controle_formulario!$C$10,H275&lt;=Criterios!$C$31+controle_formulario!$I$16-1),"SIM","NÃO")</f>
        <v>NÃO</v>
      </c>
      <c r="B275" s="198">
        <f t="shared" si="123"/>
        <v>0</v>
      </c>
      <c r="C275" s="198" t="str">
        <f t="shared" si="124"/>
        <v>Formrol</v>
      </c>
      <c r="D275" s="179"/>
      <c r="E275" s="198" t="str">
        <f t="shared" si="125"/>
        <v>Planilha 1</v>
      </c>
      <c r="F275" s="198" t="str">
        <f t="shared" si="126"/>
        <v>Geral</v>
      </c>
      <c r="G275" s="198" t="s">
        <v>21</v>
      </c>
      <c r="H275" s="199">
        <f t="shared" si="132"/>
        <v>2029</v>
      </c>
      <c r="I275" s="200">
        <f t="shared" ca="1" si="132"/>
        <v>36.250027878529522</v>
      </c>
      <c r="J275" s="200" t="str">
        <f>IF(controle_formulario!$C$39=1,controle_formulario!$C$37,controle_formulario!$C$38)</f>
        <v>Epidemiologico Beneficiarios Saude Suplementar</v>
      </c>
      <c r="K275" s="197" t="s">
        <v>169</v>
      </c>
      <c r="L275" s="197">
        <f t="shared" si="131"/>
        <v>0</v>
      </c>
      <c r="M275" s="201">
        <f t="shared" si="134"/>
        <v>0</v>
      </c>
      <c r="N275" s="201">
        <f t="shared" si="134"/>
        <v>0</v>
      </c>
      <c r="O275" s="197" t="s">
        <v>176</v>
      </c>
      <c r="P275" s="197" t="str">
        <f t="shared" si="120"/>
        <v>Taxa de difusão em X anos: XX%</v>
      </c>
      <c r="Q275" s="202">
        <f>'Market Share'!N43</f>
        <v>0</v>
      </c>
      <c r="R275" s="203">
        <f t="shared" ca="1" si="133"/>
        <v>0</v>
      </c>
      <c r="S275" s="204">
        <f t="shared" ca="1" si="133"/>
        <v>-4150388.9087994657</v>
      </c>
    </row>
    <row r="276" spans="1:19" x14ac:dyDescent="0.3">
      <c r="A276" s="198" t="str">
        <f>IF(AND(VALUE(RIGHT(O276,2))&lt;=controle_formulario!$E$16,VALUE(RIGHT(K276,2))&lt;=controle_formulario!$C$10,H276&lt;=Criterios!$C$31+controle_formulario!$I$16-1),"SIM","NÃO")</f>
        <v>NÃO</v>
      </c>
      <c r="B276" s="198">
        <f t="shared" si="123"/>
        <v>0</v>
      </c>
      <c r="C276" s="198" t="str">
        <f t="shared" si="124"/>
        <v>Formrol</v>
      </c>
      <c r="D276" s="179"/>
      <c r="E276" s="198" t="str">
        <f t="shared" si="125"/>
        <v>Planilha 1</v>
      </c>
      <c r="F276" s="198" t="str">
        <f t="shared" si="126"/>
        <v>Geral</v>
      </c>
      <c r="G276" s="198" t="s">
        <v>22</v>
      </c>
      <c r="H276" s="199">
        <f t="shared" si="132"/>
        <v>2030</v>
      </c>
      <c r="I276" s="200">
        <f t="shared" ca="1" si="132"/>
        <v>36.350592396534239</v>
      </c>
      <c r="J276" s="200" t="str">
        <f>IF(controle_formulario!$C$39=1,controle_formulario!$C$37,controle_formulario!$C$38)</f>
        <v>Epidemiologico Beneficiarios Saude Suplementar</v>
      </c>
      <c r="K276" s="197" t="s">
        <v>169</v>
      </c>
      <c r="L276" s="197">
        <f t="shared" si="131"/>
        <v>0</v>
      </c>
      <c r="M276" s="201">
        <f t="shared" si="134"/>
        <v>0</v>
      </c>
      <c r="N276" s="201">
        <f t="shared" si="134"/>
        <v>0</v>
      </c>
      <c r="O276" s="197" t="s">
        <v>176</v>
      </c>
      <c r="P276" s="197" t="str">
        <f t="shared" si="120"/>
        <v>Taxa de difusão em X anos: XX%</v>
      </c>
      <c r="Q276" s="202">
        <f>'Market Share'!N44</f>
        <v>0</v>
      </c>
      <c r="R276" s="203">
        <f t="shared" ca="1" si="133"/>
        <v>0</v>
      </c>
      <c r="S276" s="204">
        <f t="shared" ca="1" si="133"/>
        <v>-4161902.8822933384</v>
      </c>
    </row>
    <row r="277" spans="1:19" x14ac:dyDescent="0.3">
      <c r="A277" s="198" t="str">
        <f>IF(AND(VALUE(RIGHT(O277,2))&lt;=controle_formulario!$E$16,VALUE(RIGHT(K277,2))&lt;=controle_formulario!$C$10,H277&lt;=Criterios!$C$31+controle_formulario!$I$16-1),"SIM","NÃO")</f>
        <v>NÃO</v>
      </c>
      <c r="B277" s="198">
        <f t="shared" si="123"/>
        <v>0</v>
      </c>
      <c r="C277" s="198" t="str">
        <f t="shared" si="124"/>
        <v>Formrol</v>
      </c>
      <c r="D277" s="179"/>
      <c r="E277" s="198" t="str">
        <f t="shared" si="125"/>
        <v>Planilha 1</v>
      </c>
      <c r="F277" s="198" t="str">
        <f t="shared" si="126"/>
        <v>Geral</v>
      </c>
      <c r="G277" s="198" t="s">
        <v>23</v>
      </c>
      <c r="H277" s="199">
        <f t="shared" si="132"/>
        <v>2031</v>
      </c>
      <c r="I277" s="200">
        <f t="shared" si="132"/>
        <v>0</v>
      </c>
      <c r="J277" s="200" t="str">
        <f>IF(controle_formulario!$C$39=1,controle_formulario!$C$37,controle_formulario!$C$38)</f>
        <v>Epidemiologico Beneficiarios Saude Suplementar</v>
      </c>
      <c r="K277" s="197" t="s">
        <v>169</v>
      </c>
      <c r="L277" s="197">
        <f t="shared" si="131"/>
        <v>0</v>
      </c>
      <c r="M277" s="201">
        <f t="shared" si="134"/>
        <v>0</v>
      </c>
      <c r="N277" s="201">
        <f t="shared" si="134"/>
        <v>0</v>
      </c>
      <c r="O277" s="197" t="s">
        <v>176</v>
      </c>
      <c r="P277" s="197" t="str">
        <f t="shared" si="120"/>
        <v>Taxa de difusão em X anos: XX%</v>
      </c>
      <c r="Q277" s="202">
        <f>'Market Share'!N45</f>
        <v>0</v>
      </c>
      <c r="R277" s="203">
        <f t="shared" ca="1" si="133"/>
        <v>0</v>
      </c>
      <c r="S277" s="204">
        <f t="shared" ca="1" si="133"/>
        <v>0</v>
      </c>
    </row>
    <row r="278" spans="1:19" x14ac:dyDescent="0.3">
      <c r="A278" s="198" t="str">
        <f>IF(AND(VALUE(RIGHT(O278,2))&lt;=controle_formulario!$E$16,VALUE(RIGHT(K278,2))&lt;=controle_formulario!$C$10,H278&lt;=Criterios!$C$31+controle_formulario!$I$16-1),"SIM","NÃO")</f>
        <v>NÃO</v>
      </c>
      <c r="B278" s="198">
        <f t="shared" si="123"/>
        <v>0</v>
      </c>
      <c r="C278" s="198" t="str">
        <f t="shared" si="124"/>
        <v>Formrol</v>
      </c>
      <c r="D278" s="179"/>
      <c r="E278" s="198" t="str">
        <f t="shared" si="125"/>
        <v>Planilha 1</v>
      </c>
      <c r="F278" s="198" t="str">
        <f t="shared" si="126"/>
        <v>Geral</v>
      </c>
      <c r="G278" s="198" t="s">
        <v>24</v>
      </c>
      <c r="H278" s="199">
        <f t="shared" si="132"/>
        <v>2032</v>
      </c>
      <c r="I278" s="200">
        <f t="shared" si="132"/>
        <v>0</v>
      </c>
      <c r="J278" s="200" t="str">
        <f>IF(controle_formulario!$C$39=1,controle_formulario!$C$37,controle_formulario!$C$38)</f>
        <v>Epidemiologico Beneficiarios Saude Suplementar</v>
      </c>
      <c r="K278" s="197" t="s">
        <v>169</v>
      </c>
      <c r="L278" s="197">
        <f t="shared" si="131"/>
        <v>0</v>
      </c>
      <c r="M278" s="201">
        <f t="shared" si="134"/>
        <v>0</v>
      </c>
      <c r="N278" s="201">
        <f t="shared" si="134"/>
        <v>0</v>
      </c>
      <c r="O278" s="197" t="s">
        <v>176</v>
      </c>
      <c r="P278" s="197" t="str">
        <f t="shared" si="120"/>
        <v>Taxa de difusão em X anos: XX%</v>
      </c>
      <c r="Q278" s="202">
        <f>'Market Share'!N46</f>
        <v>0</v>
      </c>
      <c r="R278" s="203">
        <f t="shared" ca="1" si="133"/>
        <v>0</v>
      </c>
      <c r="S278" s="204">
        <f t="shared" ca="1" si="133"/>
        <v>0</v>
      </c>
    </row>
    <row r="279" spans="1:19" x14ac:dyDescent="0.3">
      <c r="A279" s="198" t="str">
        <f>IF(AND(VALUE(RIGHT(O279,2))&lt;=controle_formulario!$E$16,VALUE(RIGHT(K279,2))&lt;=controle_formulario!$C$10,H279&lt;=Criterios!$C$31+controle_formulario!$I$16-1),"SIM","NÃO")</f>
        <v>NÃO</v>
      </c>
      <c r="B279" s="198">
        <f t="shared" si="123"/>
        <v>0</v>
      </c>
      <c r="C279" s="198" t="str">
        <f t="shared" si="124"/>
        <v>Formrol</v>
      </c>
      <c r="D279" s="179"/>
      <c r="E279" s="198" t="str">
        <f t="shared" si="125"/>
        <v>Planilha 1</v>
      </c>
      <c r="F279" s="198" t="str">
        <f t="shared" si="126"/>
        <v>Geral</v>
      </c>
      <c r="G279" s="198" t="s">
        <v>25</v>
      </c>
      <c r="H279" s="199">
        <f t="shared" si="132"/>
        <v>2033</v>
      </c>
      <c r="I279" s="200">
        <f t="shared" si="132"/>
        <v>0</v>
      </c>
      <c r="J279" s="200" t="str">
        <f>IF(controle_formulario!$C$39=1,controle_formulario!$C$37,controle_formulario!$C$38)</f>
        <v>Epidemiologico Beneficiarios Saude Suplementar</v>
      </c>
      <c r="K279" s="197" t="s">
        <v>169</v>
      </c>
      <c r="L279" s="197">
        <f t="shared" si="131"/>
        <v>0</v>
      </c>
      <c r="M279" s="201">
        <f t="shared" si="134"/>
        <v>0</v>
      </c>
      <c r="N279" s="201">
        <f t="shared" si="134"/>
        <v>0</v>
      </c>
      <c r="O279" s="197" t="s">
        <v>176</v>
      </c>
      <c r="P279" s="197" t="str">
        <f t="shared" si="120"/>
        <v>Taxa de difusão em X anos: XX%</v>
      </c>
      <c r="Q279" s="202">
        <f>'Market Share'!N47</f>
        <v>0</v>
      </c>
      <c r="R279" s="203">
        <f t="shared" ca="1" si="133"/>
        <v>0</v>
      </c>
      <c r="S279" s="204">
        <f t="shared" ca="1" si="133"/>
        <v>0</v>
      </c>
    </row>
    <row r="280" spans="1:19" x14ac:dyDescent="0.3">
      <c r="A280" s="198" t="str">
        <f>IF(AND(VALUE(RIGHT(O280,2))&lt;=controle_formulario!$E$16,VALUE(RIGHT(K280,2))&lt;=controle_formulario!$C$10,H280&lt;=Criterios!$C$31+controle_formulario!$I$16-1),"SIM","NÃO")</f>
        <v>NÃO</v>
      </c>
      <c r="B280" s="198">
        <f t="shared" si="123"/>
        <v>0</v>
      </c>
      <c r="C280" s="198" t="str">
        <f t="shared" si="124"/>
        <v>Formrol</v>
      </c>
      <c r="D280" s="179"/>
      <c r="E280" s="198" t="str">
        <f t="shared" si="125"/>
        <v>Planilha 1</v>
      </c>
      <c r="F280" s="198" t="str">
        <f t="shared" si="126"/>
        <v>Geral</v>
      </c>
      <c r="G280" s="198" t="s">
        <v>26</v>
      </c>
      <c r="H280" s="199">
        <f t="shared" si="132"/>
        <v>2034</v>
      </c>
      <c r="I280" s="200">
        <f t="shared" si="132"/>
        <v>0</v>
      </c>
      <c r="J280" s="200" t="str">
        <f>IF(controle_formulario!$C$39=1,controle_formulario!$C$37,controle_formulario!$C$38)</f>
        <v>Epidemiologico Beneficiarios Saude Suplementar</v>
      </c>
      <c r="K280" s="197" t="s">
        <v>169</v>
      </c>
      <c r="L280" s="197">
        <f t="shared" si="131"/>
        <v>0</v>
      </c>
      <c r="M280" s="201">
        <f t="shared" si="134"/>
        <v>0</v>
      </c>
      <c r="N280" s="201">
        <f t="shared" si="134"/>
        <v>0</v>
      </c>
      <c r="O280" s="197" t="s">
        <v>176</v>
      </c>
      <c r="P280" s="197" t="str">
        <f t="shared" si="120"/>
        <v>Taxa de difusão em X anos: XX%</v>
      </c>
      <c r="Q280" s="202">
        <f>'Market Share'!N48</f>
        <v>0</v>
      </c>
      <c r="R280" s="203">
        <f t="shared" ca="1" si="133"/>
        <v>0</v>
      </c>
      <c r="S280" s="204">
        <f t="shared" ca="1" si="133"/>
        <v>0</v>
      </c>
    </row>
    <row r="281" spans="1:19" ht="15" thickBot="1" x14ac:dyDescent="0.35">
      <c r="A281" s="205" t="str">
        <f>IF(AND(VALUE(RIGHT(O281,2))&lt;=controle_formulario!$E$16,VALUE(RIGHT(K281,2))&lt;=controle_formulario!$C$10,H281&lt;=Criterios!$C$31+controle_formulario!$I$16-1),"SIM","NÃO")</f>
        <v>NÃO</v>
      </c>
      <c r="B281" s="205">
        <f t="shared" si="123"/>
        <v>0</v>
      </c>
      <c r="C281" s="205" t="str">
        <f t="shared" si="124"/>
        <v>Formrol</v>
      </c>
      <c r="D281" s="180"/>
      <c r="E281" s="205" t="str">
        <f t="shared" si="125"/>
        <v>Planilha 1</v>
      </c>
      <c r="F281" s="205" t="str">
        <f t="shared" si="126"/>
        <v>Geral</v>
      </c>
      <c r="G281" s="205" t="s">
        <v>27</v>
      </c>
      <c r="H281" s="212">
        <f t="shared" si="132"/>
        <v>2035</v>
      </c>
      <c r="I281" s="213">
        <f t="shared" si="132"/>
        <v>0</v>
      </c>
      <c r="J281" s="207" t="str">
        <f>IF(controle_formulario!$C$39=1,controle_formulario!$C$37,controle_formulario!$C$38)</f>
        <v>Epidemiologico Beneficiarios Saude Suplementar</v>
      </c>
      <c r="K281" s="208" t="s">
        <v>169</v>
      </c>
      <c r="L281" s="208">
        <f t="shared" si="131"/>
        <v>0</v>
      </c>
      <c r="M281" s="201">
        <f t="shared" si="134"/>
        <v>0</v>
      </c>
      <c r="N281" s="201">
        <f t="shared" si="134"/>
        <v>0</v>
      </c>
      <c r="O281" s="214" t="s">
        <v>176</v>
      </c>
      <c r="P281" s="214" t="str">
        <f t="shared" si="120"/>
        <v>Taxa de difusão em X anos: XX%</v>
      </c>
      <c r="Q281" s="215">
        <f>'Market Share'!N49</f>
        <v>0</v>
      </c>
      <c r="R281" s="216">
        <f t="shared" ca="1" si="133"/>
        <v>0</v>
      </c>
      <c r="S281" s="217">
        <f t="shared" ca="1" si="133"/>
        <v>0</v>
      </c>
    </row>
    <row r="282" spans="1:19" x14ac:dyDescent="0.3">
      <c r="A282" s="189" t="str">
        <f>IF(AND(VALUE(RIGHT(O282,2))&lt;=controle_formulario!$E$16,VALUE(RIGHT(K282,2))&lt;=controle_formulario!$C$10,H282&lt;=Criterios!$C$31+controle_formulario!$I$16-1),"SIM","NÃO")</f>
        <v>NÃO</v>
      </c>
      <c r="B282" s="189">
        <f t="shared" si="123"/>
        <v>0</v>
      </c>
      <c r="C282" s="189" t="str">
        <f t="shared" si="124"/>
        <v>Formrol</v>
      </c>
      <c r="D282" s="177"/>
      <c r="E282" s="189" t="str">
        <f t="shared" si="125"/>
        <v>Planilha 1</v>
      </c>
      <c r="F282" s="189" t="str">
        <f t="shared" si="126"/>
        <v>Geral</v>
      </c>
      <c r="G282" s="189" t="s">
        <v>18</v>
      </c>
      <c r="H282" s="190">
        <f>H272</f>
        <v>2026</v>
      </c>
      <c r="I282" s="191">
        <f ca="1">I272</f>
        <v>35.902021176061034</v>
      </c>
      <c r="J282" s="191" t="str">
        <f>IF(controle_formulario!$C$39=1,controle_formulario!$C$37,controle_formulario!$C$38)</f>
        <v>Epidemiologico Beneficiarios Saude Suplementar</v>
      </c>
      <c r="K282" s="192" t="s">
        <v>170</v>
      </c>
      <c r="L282" s="192">
        <f t="shared" ref="L282:L291" si="135">trat.c</f>
        <v>0</v>
      </c>
      <c r="M282" s="193">
        <f>Resumo!$D$41</f>
        <v>0</v>
      </c>
      <c r="N282" s="193">
        <f>Resumo!$D$50</f>
        <v>0</v>
      </c>
      <c r="O282" s="192" t="s">
        <v>176</v>
      </c>
      <c r="P282" s="192" t="str">
        <f t="shared" si="120"/>
        <v>Taxa de difusão em X anos: XX%</v>
      </c>
      <c r="Q282" s="194">
        <f>'Market Share'!O40</f>
        <v>0</v>
      </c>
      <c r="R282" s="195">
        <f ca="1">R272</f>
        <v>0</v>
      </c>
      <c r="S282" s="196">
        <f ca="1">S272</f>
        <v>-4110544.4385289042</v>
      </c>
    </row>
    <row r="283" spans="1:19" x14ac:dyDescent="0.3">
      <c r="A283" s="198" t="str">
        <f>IF(AND(VALUE(RIGHT(O283,2))&lt;=controle_formulario!$E$16,VALUE(RIGHT(K283,2))&lt;=controle_formulario!$C$10,H283&lt;=Criterios!$C$31+controle_formulario!$I$16-1),"SIM","NÃO")</f>
        <v>NÃO</v>
      </c>
      <c r="B283" s="198">
        <f t="shared" si="123"/>
        <v>0</v>
      </c>
      <c r="C283" s="198" t="str">
        <f t="shared" si="124"/>
        <v>Formrol</v>
      </c>
      <c r="D283" s="179"/>
      <c r="E283" s="198" t="str">
        <f t="shared" si="125"/>
        <v>Planilha 1</v>
      </c>
      <c r="F283" s="198" t="str">
        <f t="shared" si="126"/>
        <v>Geral</v>
      </c>
      <c r="G283" s="198" t="s">
        <v>19</v>
      </c>
      <c r="H283" s="199">
        <f t="shared" ref="H283:I291" si="136">H273</f>
        <v>2027</v>
      </c>
      <c r="I283" s="200">
        <f t="shared" ca="1" si="136"/>
        <v>36.027114594978322</v>
      </c>
      <c r="J283" s="200" t="str">
        <f>IF(controle_formulario!$C$39=1,controle_formulario!$C$37,controle_formulario!$C$38)</f>
        <v>Epidemiologico Beneficiarios Saude Suplementar</v>
      </c>
      <c r="K283" s="197" t="s">
        <v>170</v>
      </c>
      <c r="L283" s="197">
        <f t="shared" si="135"/>
        <v>0</v>
      </c>
      <c r="M283" s="201">
        <f>M282</f>
        <v>0</v>
      </c>
      <c r="N283" s="201">
        <f>N282</f>
        <v>0</v>
      </c>
      <c r="O283" s="197" t="s">
        <v>176</v>
      </c>
      <c r="P283" s="197" t="str">
        <f t="shared" si="120"/>
        <v>Taxa de difusão em X anos: XX%</v>
      </c>
      <c r="Q283" s="202">
        <f>'Market Share'!O41</f>
        <v>0</v>
      </c>
      <c r="R283" s="203">
        <f t="shared" ref="R283:S291" ca="1" si="137">R273</f>
        <v>0</v>
      </c>
      <c r="S283" s="204">
        <f t="shared" ca="1" si="137"/>
        <v>-4124866.8092641174</v>
      </c>
    </row>
    <row r="284" spans="1:19" x14ac:dyDescent="0.3">
      <c r="A284" s="198" t="str">
        <f>IF(AND(VALUE(RIGHT(O284,2))&lt;=controle_formulario!$E$16,VALUE(RIGHT(K284,2))&lt;=controle_formulario!$C$10,H284&lt;=Criterios!$C$31+controle_formulario!$I$16-1),"SIM","NÃO")</f>
        <v>NÃO</v>
      </c>
      <c r="B284" s="198">
        <f t="shared" si="123"/>
        <v>0</v>
      </c>
      <c r="C284" s="198" t="str">
        <f t="shared" si="124"/>
        <v>Formrol</v>
      </c>
      <c r="D284" s="179"/>
      <c r="E284" s="198" t="str">
        <f t="shared" si="125"/>
        <v>Planilha 1</v>
      </c>
      <c r="F284" s="198" t="str">
        <f t="shared" si="126"/>
        <v>Geral</v>
      </c>
      <c r="G284" s="198" t="s">
        <v>20</v>
      </c>
      <c r="H284" s="199">
        <f t="shared" si="136"/>
        <v>2028</v>
      </c>
      <c r="I284" s="200">
        <f t="shared" ca="1" si="136"/>
        <v>36.142742272880319</v>
      </c>
      <c r="J284" s="200" t="str">
        <f>IF(controle_formulario!$C$39=1,controle_formulario!$C$37,controle_formulario!$C$38)</f>
        <v>Epidemiologico Beneficiarios Saude Suplementar</v>
      </c>
      <c r="K284" s="197" t="s">
        <v>170</v>
      </c>
      <c r="L284" s="197">
        <f t="shared" si="135"/>
        <v>0</v>
      </c>
      <c r="M284" s="201">
        <f t="shared" ref="M284:N291" si="138">M283</f>
        <v>0</v>
      </c>
      <c r="N284" s="201">
        <f t="shared" si="138"/>
        <v>0</v>
      </c>
      <c r="O284" s="197" t="s">
        <v>176</v>
      </c>
      <c r="P284" s="197" t="str">
        <f t="shared" ref="P284:P301" si="139">cen.alt5</f>
        <v>Taxa de difusão em X anos: XX%</v>
      </c>
      <c r="Q284" s="202">
        <f>'Market Share'!O42</f>
        <v>0</v>
      </c>
      <c r="R284" s="203">
        <f t="shared" ca="1" si="137"/>
        <v>0</v>
      </c>
      <c r="S284" s="204">
        <f t="shared" ca="1" si="137"/>
        <v>-4138105.4151356164</v>
      </c>
    </row>
    <row r="285" spans="1:19" x14ac:dyDescent="0.3">
      <c r="A285" s="198" t="str">
        <f>IF(AND(VALUE(RIGHT(O285,2))&lt;=controle_formulario!$E$16,VALUE(RIGHT(K285,2))&lt;=controle_formulario!$C$10,H285&lt;=Criterios!$C$31+controle_formulario!$I$16-1),"SIM","NÃO")</f>
        <v>NÃO</v>
      </c>
      <c r="B285" s="198">
        <f t="shared" si="123"/>
        <v>0</v>
      </c>
      <c r="C285" s="198" t="str">
        <f t="shared" si="124"/>
        <v>Formrol</v>
      </c>
      <c r="D285" s="179"/>
      <c r="E285" s="198" t="str">
        <f t="shared" si="125"/>
        <v>Planilha 1</v>
      </c>
      <c r="F285" s="198" t="str">
        <f t="shared" si="126"/>
        <v>Geral</v>
      </c>
      <c r="G285" s="198" t="s">
        <v>21</v>
      </c>
      <c r="H285" s="199">
        <f t="shared" si="136"/>
        <v>2029</v>
      </c>
      <c r="I285" s="200">
        <f t="shared" ca="1" si="136"/>
        <v>36.250027878529522</v>
      </c>
      <c r="J285" s="200" t="str">
        <f>IF(controle_formulario!$C$39=1,controle_formulario!$C$37,controle_formulario!$C$38)</f>
        <v>Epidemiologico Beneficiarios Saude Suplementar</v>
      </c>
      <c r="K285" s="197" t="s">
        <v>170</v>
      </c>
      <c r="L285" s="197">
        <f t="shared" si="135"/>
        <v>0</v>
      </c>
      <c r="M285" s="201">
        <f t="shared" si="138"/>
        <v>0</v>
      </c>
      <c r="N285" s="201">
        <f t="shared" si="138"/>
        <v>0</v>
      </c>
      <c r="O285" s="197" t="s">
        <v>176</v>
      </c>
      <c r="P285" s="197" t="str">
        <f t="shared" si="139"/>
        <v>Taxa de difusão em X anos: XX%</v>
      </c>
      <c r="Q285" s="202">
        <f>'Market Share'!O43</f>
        <v>0</v>
      </c>
      <c r="R285" s="203">
        <f t="shared" ca="1" si="137"/>
        <v>0</v>
      </c>
      <c r="S285" s="204">
        <f t="shared" ca="1" si="137"/>
        <v>-4150388.9087994657</v>
      </c>
    </row>
    <row r="286" spans="1:19" x14ac:dyDescent="0.3">
      <c r="A286" s="198" t="str">
        <f>IF(AND(VALUE(RIGHT(O286,2))&lt;=controle_formulario!$E$16,VALUE(RIGHT(K286,2))&lt;=controle_formulario!$C$10,H286&lt;=Criterios!$C$31+controle_formulario!$I$16-1),"SIM","NÃO")</f>
        <v>NÃO</v>
      </c>
      <c r="B286" s="198">
        <f t="shared" si="123"/>
        <v>0</v>
      </c>
      <c r="C286" s="198" t="str">
        <f t="shared" si="124"/>
        <v>Formrol</v>
      </c>
      <c r="D286" s="179"/>
      <c r="E286" s="198" t="str">
        <f t="shared" si="125"/>
        <v>Planilha 1</v>
      </c>
      <c r="F286" s="198" t="str">
        <f t="shared" si="126"/>
        <v>Geral</v>
      </c>
      <c r="G286" s="198" t="s">
        <v>22</v>
      </c>
      <c r="H286" s="199">
        <f t="shared" si="136"/>
        <v>2030</v>
      </c>
      <c r="I286" s="200">
        <f t="shared" ca="1" si="136"/>
        <v>36.350592396534239</v>
      </c>
      <c r="J286" s="200" t="str">
        <f>IF(controle_formulario!$C$39=1,controle_formulario!$C$37,controle_formulario!$C$38)</f>
        <v>Epidemiologico Beneficiarios Saude Suplementar</v>
      </c>
      <c r="K286" s="197" t="s">
        <v>170</v>
      </c>
      <c r="L286" s="197">
        <f t="shared" si="135"/>
        <v>0</v>
      </c>
      <c r="M286" s="201">
        <f t="shared" si="138"/>
        <v>0</v>
      </c>
      <c r="N286" s="201">
        <f t="shared" si="138"/>
        <v>0</v>
      </c>
      <c r="O286" s="197" t="s">
        <v>176</v>
      </c>
      <c r="P286" s="197" t="str">
        <f t="shared" si="139"/>
        <v>Taxa de difusão em X anos: XX%</v>
      </c>
      <c r="Q286" s="202">
        <f>'Market Share'!O44</f>
        <v>0</v>
      </c>
      <c r="R286" s="203">
        <f t="shared" ca="1" si="137"/>
        <v>0</v>
      </c>
      <c r="S286" s="204">
        <f t="shared" ca="1" si="137"/>
        <v>-4161902.8822933384</v>
      </c>
    </row>
    <row r="287" spans="1:19" x14ac:dyDescent="0.3">
      <c r="A287" s="198" t="str">
        <f>IF(AND(VALUE(RIGHT(O287,2))&lt;=controle_formulario!$E$16,VALUE(RIGHT(K287,2))&lt;=controle_formulario!$C$10,H287&lt;=Criterios!$C$31+controle_formulario!$I$16-1),"SIM","NÃO")</f>
        <v>NÃO</v>
      </c>
      <c r="B287" s="198">
        <f t="shared" si="123"/>
        <v>0</v>
      </c>
      <c r="C287" s="198" t="str">
        <f t="shared" si="124"/>
        <v>Formrol</v>
      </c>
      <c r="D287" s="179"/>
      <c r="E287" s="198" t="str">
        <f t="shared" si="125"/>
        <v>Planilha 1</v>
      </c>
      <c r="F287" s="198" t="str">
        <f t="shared" si="126"/>
        <v>Geral</v>
      </c>
      <c r="G287" s="198" t="s">
        <v>23</v>
      </c>
      <c r="H287" s="199">
        <f t="shared" si="136"/>
        <v>2031</v>
      </c>
      <c r="I287" s="200">
        <f t="shared" si="136"/>
        <v>0</v>
      </c>
      <c r="J287" s="200" t="str">
        <f>IF(controle_formulario!$C$39=1,controle_formulario!$C$37,controle_formulario!$C$38)</f>
        <v>Epidemiologico Beneficiarios Saude Suplementar</v>
      </c>
      <c r="K287" s="197" t="s">
        <v>170</v>
      </c>
      <c r="L287" s="197">
        <f t="shared" si="135"/>
        <v>0</v>
      </c>
      <c r="M287" s="201">
        <f t="shared" si="138"/>
        <v>0</v>
      </c>
      <c r="N287" s="201">
        <f t="shared" si="138"/>
        <v>0</v>
      </c>
      <c r="O287" s="197" t="s">
        <v>176</v>
      </c>
      <c r="P287" s="197" t="str">
        <f t="shared" si="139"/>
        <v>Taxa de difusão em X anos: XX%</v>
      </c>
      <c r="Q287" s="202">
        <f>'Market Share'!O45</f>
        <v>0</v>
      </c>
      <c r="R287" s="203">
        <f t="shared" ca="1" si="137"/>
        <v>0</v>
      </c>
      <c r="S287" s="204">
        <f t="shared" ca="1" si="137"/>
        <v>0</v>
      </c>
    </row>
    <row r="288" spans="1:19" x14ac:dyDescent="0.3">
      <c r="A288" s="198" t="str">
        <f>IF(AND(VALUE(RIGHT(O288,2))&lt;=controle_formulario!$E$16,VALUE(RIGHT(K288,2))&lt;=controle_formulario!$C$10,H288&lt;=Criterios!$C$31+controle_formulario!$I$16-1),"SIM","NÃO")</f>
        <v>NÃO</v>
      </c>
      <c r="B288" s="198">
        <f t="shared" si="123"/>
        <v>0</v>
      </c>
      <c r="C288" s="198" t="str">
        <f t="shared" si="124"/>
        <v>Formrol</v>
      </c>
      <c r="D288" s="179"/>
      <c r="E288" s="198" t="str">
        <f t="shared" si="125"/>
        <v>Planilha 1</v>
      </c>
      <c r="F288" s="198" t="str">
        <f t="shared" si="126"/>
        <v>Geral</v>
      </c>
      <c r="G288" s="198" t="s">
        <v>24</v>
      </c>
      <c r="H288" s="199">
        <f t="shared" si="136"/>
        <v>2032</v>
      </c>
      <c r="I288" s="200">
        <f t="shared" si="136"/>
        <v>0</v>
      </c>
      <c r="J288" s="200" t="str">
        <f>IF(controle_formulario!$C$39=1,controle_formulario!$C$37,controle_formulario!$C$38)</f>
        <v>Epidemiologico Beneficiarios Saude Suplementar</v>
      </c>
      <c r="K288" s="197" t="s">
        <v>170</v>
      </c>
      <c r="L288" s="197">
        <f t="shared" si="135"/>
        <v>0</v>
      </c>
      <c r="M288" s="201">
        <f t="shared" si="138"/>
        <v>0</v>
      </c>
      <c r="N288" s="201">
        <f t="shared" si="138"/>
        <v>0</v>
      </c>
      <c r="O288" s="197" t="s">
        <v>176</v>
      </c>
      <c r="P288" s="197" t="str">
        <f t="shared" si="139"/>
        <v>Taxa de difusão em X anos: XX%</v>
      </c>
      <c r="Q288" s="202">
        <f>'Market Share'!O46</f>
        <v>0</v>
      </c>
      <c r="R288" s="203">
        <f t="shared" ca="1" si="137"/>
        <v>0</v>
      </c>
      <c r="S288" s="204">
        <f t="shared" ca="1" si="137"/>
        <v>0</v>
      </c>
    </row>
    <row r="289" spans="1:19" x14ac:dyDescent="0.3">
      <c r="A289" s="198" t="str">
        <f>IF(AND(VALUE(RIGHT(O289,2))&lt;=controle_formulario!$E$16,VALUE(RIGHT(K289,2))&lt;=controle_formulario!$C$10,H289&lt;=Criterios!$C$31+controle_formulario!$I$16-1),"SIM","NÃO")</f>
        <v>NÃO</v>
      </c>
      <c r="B289" s="198">
        <f t="shared" si="123"/>
        <v>0</v>
      </c>
      <c r="C289" s="198" t="str">
        <f t="shared" si="124"/>
        <v>Formrol</v>
      </c>
      <c r="D289" s="179"/>
      <c r="E289" s="198" t="str">
        <f t="shared" si="125"/>
        <v>Planilha 1</v>
      </c>
      <c r="F289" s="198" t="str">
        <f t="shared" si="126"/>
        <v>Geral</v>
      </c>
      <c r="G289" s="198" t="s">
        <v>25</v>
      </c>
      <c r="H289" s="199">
        <f t="shared" si="136"/>
        <v>2033</v>
      </c>
      <c r="I289" s="200">
        <f t="shared" si="136"/>
        <v>0</v>
      </c>
      <c r="J289" s="200" t="str">
        <f>IF(controle_formulario!$C$39=1,controle_formulario!$C$37,controle_formulario!$C$38)</f>
        <v>Epidemiologico Beneficiarios Saude Suplementar</v>
      </c>
      <c r="K289" s="197" t="s">
        <v>170</v>
      </c>
      <c r="L289" s="197">
        <f t="shared" si="135"/>
        <v>0</v>
      </c>
      <c r="M289" s="201">
        <f t="shared" si="138"/>
        <v>0</v>
      </c>
      <c r="N289" s="201">
        <f t="shared" si="138"/>
        <v>0</v>
      </c>
      <c r="O289" s="197" t="s">
        <v>176</v>
      </c>
      <c r="P289" s="197" t="str">
        <f t="shared" si="139"/>
        <v>Taxa de difusão em X anos: XX%</v>
      </c>
      <c r="Q289" s="202">
        <f>'Market Share'!O47</f>
        <v>0</v>
      </c>
      <c r="R289" s="203">
        <f t="shared" ca="1" si="137"/>
        <v>0</v>
      </c>
      <c r="S289" s="204">
        <f t="shared" ca="1" si="137"/>
        <v>0</v>
      </c>
    </row>
    <row r="290" spans="1:19" x14ac:dyDescent="0.3">
      <c r="A290" s="198" t="str">
        <f>IF(AND(VALUE(RIGHT(O290,2))&lt;=controle_formulario!$E$16,VALUE(RIGHT(K290,2))&lt;=controle_formulario!$C$10,H290&lt;=Criterios!$C$31+controle_formulario!$I$16-1),"SIM","NÃO")</f>
        <v>NÃO</v>
      </c>
      <c r="B290" s="198">
        <f t="shared" si="123"/>
        <v>0</v>
      </c>
      <c r="C290" s="198" t="str">
        <f t="shared" si="124"/>
        <v>Formrol</v>
      </c>
      <c r="D290" s="179"/>
      <c r="E290" s="198" t="str">
        <f t="shared" si="125"/>
        <v>Planilha 1</v>
      </c>
      <c r="F290" s="198" t="str">
        <f t="shared" si="126"/>
        <v>Geral</v>
      </c>
      <c r="G290" s="198" t="s">
        <v>26</v>
      </c>
      <c r="H290" s="199">
        <f t="shared" si="136"/>
        <v>2034</v>
      </c>
      <c r="I290" s="200">
        <f t="shared" si="136"/>
        <v>0</v>
      </c>
      <c r="J290" s="200" t="str">
        <f>IF(controle_formulario!$C$39=1,controle_formulario!$C$37,controle_formulario!$C$38)</f>
        <v>Epidemiologico Beneficiarios Saude Suplementar</v>
      </c>
      <c r="K290" s="197" t="s">
        <v>170</v>
      </c>
      <c r="L290" s="197">
        <f t="shared" si="135"/>
        <v>0</v>
      </c>
      <c r="M290" s="201">
        <f t="shared" si="138"/>
        <v>0</v>
      </c>
      <c r="N290" s="201">
        <f t="shared" si="138"/>
        <v>0</v>
      </c>
      <c r="O290" s="197" t="s">
        <v>176</v>
      </c>
      <c r="P290" s="197" t="str">
        <f t="shared" si="139"/>
        <v>Taxa de difusão em X anos: XX%</v>
      </c>
      <c r="Q290" s="202">
        <f>'Market Share'!O48</f>
        <v>0</v>
      </c>
      <c r="R290" s="203">
        <f t="shared" ca="1" si="137"/>
        <v>0</v>
      </c>
      <c r="S290" s="204">
        <f t="shared" ca="1" si="137"/>
        <v>0</v>
      </c>
    </row>
    <row r="291" spans="1:19" ht="15" thickBot="1" x14ac:dyDescent="0.35">
      <c r="A291" s="205" t="str">
        <f>IF(AND(VALUE(RIGHT(O291,2))&lt;=controle_formulario!$E$16,VALUE(RIGHT(K291,2))&lt;=controle_formulario!$C$10,H291&lt;=Criterios!$C$31+controle_formulario!$I$16-1),"SIM","NÃO")</f>
        <v>NÃO</v>
      </c>
      <c r="B291" s="205">
        <f t="shared" si="123"/>
        <v>0</v>
      </c>
      <c r="C291" s="205" t="str">
        <f t="shared" si="124"/>
        <v>Formrol</v>
      </c>
      <c r="D291" s="180"/>
      <c r="E291" s="205" t="str">
        <f t="shared" si="125"/>
        <v>Planilha 1</v>
      </c>
      <c r="F291" s="205" t="str">
        <f t="shared" si="126"/>
        <v>Geral</v>
      </c>
      <c r="G291" s="205" t="s">
        <v>27</v>
      </c>
      <c r="H291" s="206">
        <f t="shared" si="136"/>
        <v>2035</v>
      </c>
      <c r="I291" s="207">
        <f t="shared" si="136"/>
        <v>0</v>
      </c>
      <c r="J291" s="207" t="str">
        <f>IF(controle_formulario!$C$39=1,controle_formulario!$C$37,controle_formulario!$C$38)</f>
        <v>Epidemiologico Beneficiarios Saude Suplementar</v>
      </c>
      <c r="K291" s="208" t="s">
        <v>170</v>
      </c>
      <c r="L291" s="208">
        <f t="shared" si="135"/>
        <v>0</v>
      </c>
      <c r="M291" s="201">
        <f t="shared" si="138"/>
        <v>0</v>
      </c>
      <c r="N291" s="201">
        <f t="shared" si="138"/>
        <v>0</v>
      </c>
      <c r="O291" s="214" t="s">
        <v>176</v>
      </c>
      <c r="P291" s="214" t="str">
        <f t="shared" si="139"/>
        <v>Taxa de difusão em X anos: XX%</v>
      </c>
      <c r="Q291" s="215">
        <f>'Market Share'!O49</f>
        <v>0</v>
      </c>
      <c r="R291" s="216">
        <f t="shared" ca="1" si="137"/>
        <v>0</v>
      </c>
      <c r="S291" s="217">
        <f t="shared" ca="1" si="137"/>
        <v>0</v>
      </c>
    </row>
    <row r="292" spans="1:19" x14ac:dyDescent="0.3">
      <c r="A292" s="189" t="str">
        <f>IF(AND(VALUE(RIGHT(O292,2))&lt;=controle_formulario!$E$16,VALUE(RIGHT(K292,2))&lt;=controle_formulario!$C$10,H292&lt;=Criterios!$C$31+controle_formulario!$I$16-1),"SIM","NÃO")</f>
        <v>NÃO</v>
      </c>
      <c r="B292" s="189">
        <f t="shared" si="123"/>
        <v>0</v>
      </c>
      <c r="C292" s="189" t="str">
        <f t="shared" si="124"/>
        <v>Formrol</v>
      </c>
      <c r="D292" s="177"/>
      <c r="E292" s="189" t="str">
        <f t="shared" si="125"/>
        <v>Planilha 1</v>
      </c>
      <c r="F292" s="189" t="str">
        <f t="shared" si="126"/>
        <v>Geral</v>
      </c>
      <c r="G292" s="189" t="s">
        <v>18</v>
      </c>
      <c r="H292" s="190">
        <f>H282</f>
        <v>2026</v>
      </c>
      <c r="I292" s="191">
        <f ca="1">I282</f>
        <v>35.902021176061034</v>
      </c>
      <c r="J292" s="191" t="str">
        <f>IF(controle_formulario!$C$39=1,controle_formulario!$C$37,controle_formulario!$C$38)</f>
        <v>Epidemiologico Beneficiarios Saude Suplementar</v>
      </c>
      <c r="K292" s="192" t="s">
        <v>171</v>
      </c>
      <c r="L292" s="192">
        <f t="shared" ref="L292:L301" si="140">trat.d</f>
        <v>0</v>
      </c>
      <c r="M292" s="193">
        <f>Resumo!$D$42</f>
        <v>0</v>
      </c>
      <c r="N292" s="193">
        <f>Resumo!$D$51</f>
        <v>0</v>
      </c>
      <c r="O292" s="192" t="s">
        <v>176</v>
      </c>
      <c r="P292" s="192" t="str">
        <f t="shared" si="139"/>
        <v>Taxa de difusão em X anos: XX%</v>
      </c>
      <c r="Q292" s="194">
        <f>'Market Share'!P40</f>
        <v>0</v>
      </c>
      <c r="R292" s="195">
        <f ca="1">R282</f>
        <v>0</v>
      </c>
      <c r="S292" s="196">
        <f ca="1">S282</f>
        <v>-4110544.4385289042</v>
      </c>
    </row>
    <row r="293" spans="1:19" x14ac:dyDescent="0.3">
      <c r="A293" s="198" t="str">
        <f>IF(AND(VALUE(RIGHT(O293,2))&lt;=controle_formulario!$E$16,VALUE(RIGHT(K293,2))&lt;=controle_formulario!$C$10,H293&lt;=Criterios!$C$31+controle_formulario!$I$16-1),"SIM","NÃO")</f>
        <v>NÃO</v>
      </c>
      <c r="B293" s="198">
        <f t="shared" si="123"/>
        <v>0</v>
      </c>
      <c r="C293" s="198" t="str">
        <f t="shared" si="124"/>
        <v>Formrol</v>
      </c>
      <c r="D293" s="179"/>
      <c r="E293" s="198" t="str">
        <f t="shared" si="125"/>
        <v>Planilha 1</v>
      </c>
      <c r="F293" s="198" t="str">
        <f t="shared" si="126"/>
        <v>Geral</v>
      </c>
      <c r="G293" s="198" t="s">
        <v>19</v>
      </c>
      <c r="H293" s="199">
        <f t="shared" ref="H293:I301" si="141">H283</f>
        <v>2027</v>
      </c>
      <c r="I293" s="200">
        <f t="shared" ca="1" si="141"/>
        <v>36.027114594978322</v>
      </c>
      <c r="J293" s="200" t="str">
        <f>IF(controle_formulario!$C$39=1,controle_formulario!$C$37,controle_formulario!$C$38)</f>
        <v>Epidemiologico Beneficiarios Saude Suplementar</v>
      </c>
      <c r="K293" s="197" t="s">
        <v>171</v>
      </c>
      <c r="L293" s="197">
        <f t="shared" si="140"/>
        <v>0</v>
      </c>
      <c r="M293" s="201">
        <f>M292</f>
        <v>0</v>
      </c>
      <c r="N293" s="201">
        <f>N292</f>
        <v>0</v>
      </c>
      <c r="O293" s="197" t="s">
        <v>176</v>
      </c>
      <c r="P293" s="197" t="str">
        <f t="shared" si="139"/>
        <v>Taxa de difusão em X anos: XX%</v>
      </c>
      <c r="Q293" s="202">
        <f>'Market Share'!P41</f>
        <v>0</v>
      </c>
      <c r="R293" s="203">
        <f t="shared" ref="R293:S301" ca="1" si="142">R283</f>
        <v>0</v>
      </c>
      <c r="S293" s="204">
        <f t="shared" ca="1" si="142"/>
        <v>-4124866.8092641174</v>
      </c>
    </row>
    <row r="294" spans="1:19" x14ac:dyDescent="0.3">
      <c r="A294" s="198" t="str">
        <f>IF(AND(VALUE(RIGHT(O294,2))&lt;=controle_formulario!$E$16,VALUE(RIGHT(K294,2))&lt;=controle_formulario!$C$10,H294&lt;=Criterios!$C$31+controle_formulario!$I$16-1),"SIM","NÃO")</f>
        <v>NÃO</v>
      </c>
      <c r="B294" s="198">
        <f t="shared" si="123"/>
        <v>0</v>
      </c>
      <c r="C294" s="198" t="str">
        <f t="shared" si="124"/>
        <v>Formrol</v>
      </c>
      <c r="D294" s="179"/>
      <c r="E294" s="198" t="str">
        <f t="shared" si="125"/>
        <v>Planilha 1</v>
      </c>
      <c r="F294" s="198" t="str">
        <f t="shared" si="126"/>
        <v>Geral</v>
      </c>
      <c r="G294" s="198" t="s">
        <v>20</v>
      </c>
      <c r="H294" s="199">
        <f t="shared" si="141"/>
        <v>2028</v>
      </c>
      <c r="I294" s="200">
        <f t="shared" ca="1" si="141"/>
        <v>36.142742272880319</v>
      </c>
      <c r="J294" s="200" t="str">
        <f>IF(controle_formulario!$C$39=1,controle_formulario!$C$37,controle_formulario!$C$38)</f>
        <v>Epidemiologico Beneficiarios Saude Suplementar</v>
      </c>
      <c r="K294" s="197" t="s">
        <v>171</v>
      </c>
      <c r="L294" s="197">
        <f t="shared" si="140"/>
        <v>0</v>
      </c>
      <c r="M294" s="201">
        <f t="shared" ref="M294:N301" si="143">M293</f>
        <v>0</v>
      </c>
      <c r="N294" s="201">
        <f t="shared" si="143"/>
        <v>0</v>
      </c>
      <c r="O294" s="197" t="s">
        <v>176</v>
      </c>
      <c r="P294" s="197" t="str">
        <f t="shared" si="139"/>
        <v>Taxa de difusão em X anos: XX%</v>
      </c>
      <c r="Q294" s="202">
        <f>'Market Share'!P42</f>
        <v>0</v>
      </c>
      <c r="R294" s="203">
        <f t="shared" ca="1" si="142"/>
        <v>0</v>
      </c>
      <c r="S294" s="204">
        <f t="shared" ca="1" si="142"/>
        <v>-4138105.4151356164</v>
      </c>
    </row>
    <row r="295" spans="1:19" x14ac:dyDescent="0.3">
      <c r="A295" s="198" t="str">
        <f>IF(AND(VALUE(RIGHT(O295,2))&lt;=controle_formulario!$E$16,VALUE(RIGHT(K295,2))&lt;=controle_formulario!$C$10,H295&lt;=Criterios!$C$31+controle_formulario!$I$16-1),"SIM","NÃO")</f>
        <v>NÃO</v>
      </c>
      <c r="B295" s="198">
        <f t="shared" si="123"/>
        <v>0</v>
      </c>
      <c r="C295" s="198" t="str">
        <f t="shared" si="124"/>
        <v>Formrol</v>
      </c>
      <c r="D295" s="179"/>
      <c r="E295" s="198" t="str">
        <f t="shared" si="125"/>
        <v>Planilha 1</v>
      </c>
      <c r="F295" s="198" t="str">
        <f t="shared" si="126"/>
        <v>Geral</v>
      </c>
      <c r="G295" s="198" t="s">
        <v>21</v>
      </c>
      <c r="H295" s="199">
        <f t="shared" si="141"/>
        <v>2029</v>
      </c>
      <c r="I295" s="200">
        <f t="shared" ca="1" si="141"/>
        <v>36.250027878529522</v>
      </c>
      <c r="J295" s="200" t="str">
        <f>IF(controle_formulario!$C$39=1,controle_formulario!$C$37,controle_formulario!$C$38)</f>
        <v>Epidemiologico Beneficiarios Saude Suplementar</v>
      </c>
      <c r="K295" s="197" t="s">
        <v>171</v>
      </c>
      <c r="L295" s="197">
        <f t="shared" si="140"/>
        <v>0</v>
      </c>
      <c r="M295" s="201">
        <f t="shared" si="143"/>
        <v>0</v>
      </c>
      <c r="N295" s="201">
        <f t="shared" si="143"/>
        <v>0</v>
      </c>
      <c r="O295" s="197" t="s">
        <v>176</v>
      </c>
      <c r="P295" s="197" t="str">
        <f t="shared" si="139"/>
        <v>Taxa de difusão em X anos: XX%</v>
      </c>
      <c r="Q295" s="202">
        <f>'Market Share'!P43</f>
        <v>0</v>
      </c>
      <c r="R295" s="203">
        <f t="shared" ca="1" si="142"/>
        <v>0</v>
      </c>
      <c r="S295" s="204">
        <f t="shared" ca="1" si="142"/>
        <v>-4150388.9087994657</v>
      </c>
    </row>
    <row r="296" spans="1:19" x14ac:dyDescent="0.3">
      <c r="A296" s="198" t="str">
        <f>IF(AND(VALUE(RIGHT(O296,2))&lt;=controle_formulario!$E$16,VALUE(RIGHT(K296,2))&lt;=controle_formulario!$C$10,H296&lt;=Criterios!$C$31+controle_formulario!$I$16-1),"SIM","NÃO")</f>
        <v>NÃO</v>
      </c>
      <c r="B296" s="198">
        <f t="shared" si="123"/>
        <v>0</v>
      </c>
      <c r="C296" s="198" t="str">
        <f t="shared" si="124"/>
        <v>Formrol</v>
      </c>
      <c r="D296" s="179"/>
      <c r="E296" s="198" t="str">
        <f t="shared" si="125"/>
        <v>Planilha 1</v>
      </c>
      <c r="F296" s="198" t="str">
        <f t="shared" si="126"/>
        <v>Geral</v>
      </c>
      <c r="G296" s="198" t="s">
        <v>22</v>
      </c>
      <c r="H296" s="199">
        <f t="shared" si="141"/>
        <v>2030</v>
      </c>
      <c r="I296" s="200">
        <f t="shared" ca="1" si="141"/>
        <v>36.350592396534239</v>
      </c>
      <c r="J296" s="200" t="str">
        <f>IF(controle_formulario!$C$39=1,controle_formulario!$C$37,controle_formulario!$C$38)</f>
        <v>Epidemiologico Beneficiarios Saude Suplementar</v>
      </c>
      <c r="K296" s="197" t="s">
        <v>171</v>
      </c>
      <c r="L296" s="197">
        <f t="shared" si="140"/>
        <v>0</v>
      </c>
      <c r="M296" s="201">
        <f t="shared" si="143"/>
        <v>0</v>
      </c>
      <c r="N296" s="201">
        <f t="shared" si="143"/>
        <v>0</v>
      </c>
      <c r="O296" s="197" t="s">
        <v>176</v>
      </c>
      <c r="P296" s="197" t="str">
        <f t="shared" si="139"/>
        <v>Taxa de difusão em X anos: XX%</v>
      </c>
      <c r="Q296" s="202">
        <f>'Market Share'!P44</f>
        <v>0</v>
      </c>
      <c r="R296" s="203">
        <f t="shared" ca="1" si="142"/>
        <v>0</v>
      </c>
      <c r="S296" s="204">
        <f t="shared" ca="1" si="142"/>
        <v>-4161902.8822933384</v>
      </c>
    </row>
    <row r="297" spans="1:19" x14ac:dyDescent="0.3">
      <c r="A297" s="198" t="str">
        <f>IF(AND(VALUE(RIGHT(O297,2))&lt;=controle_formulario!$E$16,VALUE(RIGHT(K297,2))&lt;=controle_formulario!$C$10,H297&lt;=Criterios!$C$31+controle_formulario!$I$16-1),"SIM","NÃO")</f>
        <v>NÃO</v>
      </c>
      <c r="B297" s="198">
        <f t="shared" si="123"/>
        <v>0</v>
      </c>
      <c r="C297" s="198" t="str">
        <f t="shared" si="124"/>
        <v>Formrol</v>
      </c>
      <c r="D297" s="179"/>
      <c r="E297" s="198" t="str">
        <f t="shared" si="125"/>
        <v>Planilha 1</v>
      </c>
      <c r="F297" s="198" t="str">
        <f t="shared" si="126"/>
        <v>Geral</v>
      </c>
      <c r="G297" s="198" t="s">
        <v>23</v>
      </c>
      <c r="H297" s="199">
        <f t="shared" si="141"/>
        <v>2031</v>
      </c>
      <c r="I297" s="200">
        <f t="shared" si="141"/>
        <v>0</v>
      </c>
      <c r="J297" s="200" t="str">
        <f>IF(controle_formulario!$C$39=1,controle_formulario!$C$37,controle_formulario!$C$38)</f>
        <v>Epidemiologico Beneficiarios Saude Suplementar</v>
      </c>
      <c r="K297" s="197" t="s">
        <v>171</v>
      </c>
      <c r="L297" s="197">
        <f t="shared" si="140"/>
        <v>0</v>
      </c>
      <c r="M297" s="201">
        <f t="shared" si="143"/>
        <v>0</v>
      </c>
      <c r="N297" s="201">
        <f t="shared" si="143"/>
        <v>0</v>
      </c>
      <c r="O297" s="197" t="s">
        <v>176</v>
      </c>
      <c r="P297" s="197" t="str">
        <f t="shared" si="139"/>
        <v>Taxa de difusão em X anos: XX%</v>
      </c>
      <c r="Q297" s="202">
        <f>'Market Share'!P45</f>
        <v>0</v>
      </c>
      <c r="R297" s="203">
        <f t="shared" ca="1" si="142"/>
        <v>0</v>
      </c>
      <c r="S297" s="204">
        <f t="shared" ca="1" si="142"/>
        <v>0</v>
      </c>
    </row>
    <row r="298" spans="1:19" x14ac:dyDescent="0.3">
      <c r="A298" s="198" t="str">
        <f>IF(AND(VALUE(RIGHT(O298,2))&lt;=controle_formulario!$E$16,VALUE(RIGHT(K298,2))&lt;=controle_formulario!$C$10,H298&lt;=Criterios!$C$31+controle_formulario!$I$16-1),"SIM","NÃO")</f>
        <v>NÃO</v>
      </c>
      <c r="B298" s="198">
        <f t="shared" si="123"/>
        <v>0</v>
      </c>
      <c r="C298" s="198" t="str">
        <f t="shared" si="124"/>
        <v>Formrol</v>
      </c>
      <c r="D298" s="179"/>
      <c r="E298" s="198" t="str">
        <f t="shared" si="125"/>
        <v>Planilha 1</v>
      </c>
      <c r="F298" s="198" t="str">
        <f t="shared" si="126"/>
        <v>Geral</v>
      </c>
      <c r="G298" s="198" t="s">
        <v>24</v>
      </c>
      <c r="H298" s="199">
        <f t="shared" si="141"/>
        <v>2032</v>
      </c>
      <c r="I298" s="200">
        <f t="shared" si="141"/>
        <v>0</v>
      </c>
      <c r="J298" s="200" t="str">
        <f>IF(controle_formulario!$C$39=1,controle_formulario!$C$37,controle_formulario!$C$38)</f>
        <v>Epidemiologico Beneficiarios Saude Suplementar</v>
      </c>
      <c r="K298" s="197" t="s">
        <v>171</v>
      </c>
      <c r="L298" s="197">
        <f t="shared" si="140"/>
        <v>0</v>
      </c>
      <c r="M298" s="201">
        <f t="shared" si="143"/>
        <v>0</v>
      </c>
      <c r="N298" s="201">
        <f t="shared" si="143"/>
        <v>0</v>
      </c>
      <c r="O298" s="197" t="s">
        <v>176</v>
      </c>
      <c r="P298" s="197" t="str">
        <f t="shared" si="139"/>
        <v>Taxa de difusão em X anos: XX%</v>
      </c>
      <c r="Q298" s="202">
        <f>'Market Share'!P46</f>
        <v>0</v>
      </c>
      <c r="R298" s="203">
        <f t="shared" ca="1" si="142"/>
        <v>0</v>
      </c>
      <c r="S298" s="204">
        <f t="shared" ca="1" si="142"/>
        <v>0</v>
      </c>
    </row>
    <row r="299" spans="1:19" x14ac:dyDescent="0.3">
      <c r="A299" s="198" t="str">
        <f>IF(AND(VALUE(RIGHT(O299,2))&lt;=controle_formulario!$E$16,VALUE(RIGHT(K299,2))&lt;=controle_formulario!$C$10,H299&lt;=Criterios!$C$31+controle_formulario!$I$16-1),"SIM","NÃO")</f>
        <v>NÃO</v>
      </c>
      <c r="B299" s="198">
        <f t="shared" si="123"/>
        <v>0</v>
      </c>
      <c r="C299" s="198" t="str">
        <f t="shared" si="124"/>
        <v>Formrol</v>
      </c>
      <c r="D299" s="179"/>
      <c r="E299" s="198" t="str">
        <f t="shared" si="125"/>
        <v>Planilha 1</v>
      </c>
      <c r="F299" s="198" t="str">
        <f t="shared" si="126"/>
        <v>Geral</v>
      </c>
      <c r="G299" s="198" t="s">
        <v>25</v>
      </c>
      <c r="H299" s="199">
        <f t="shared" si="141"/>
        <v>2033</v>
      </c>
      <c r="I299" s="200">
        <f t="shared" si="141"/>
        <v>0</v>
      </c>
      <c r="J299" s="200" t="str">
        <f>IF(controle_formulario!$C$39=1,controle_formulario!$C$37,controle_formulario!$C$38)</f>
        <v>Epidemiologico Beneficiarios Saude Suplementar</v>
      </c>
      <c r="K299" s="197" t="s">
        <v>171</v>
      </c>
      <c r="L299" s="197">
        <f t="shared" si="140"/>
        <v>0</v>
      </c>
      <c r="M299" s="201">
        <f t="shared" si="143"/>
        <v>0</v>
      </c>
      <c r="N299" s="201">
        <f t="shared" si="143"/>
        <v>0</v>
      </c>
      <c r="O299" s="197" t="s">
        <v>176</v>
      </c>
      <c r="P299" s="197" t="str">
        <f t="shared" si="139"/>
        <v>Taxa de difusão em X anos: XX%</v>
      </c>
      <c r="Q299" s="202">
        <f>'Market Share'!P47</f>
        <v>0</v>
      </c>
      <c r="R299" s="203">
        <f t="shared" ca="1" si="142"/>
        <v>0</v>
      </c>
      <c r="S299" s="204">
        <f t="shared" ca="1" si="142"/>
        <v>0</v>
      </c>
    </row>
    <row r="300" spans="1:19" x14ac:dyDescent="0.3">
      <c r="A300" s="198" t="str">
        <f>IF(AND(VALUE(RIGHT(O300,2))&lt;=controle_formulario!$E$16,VALUE(RIGHT(K300,2))&lt;=controle_formulario!$C$10,H300&lt;=Criterios!$C$31+controle_formulario!$I$16-1),"SIM","NÃO")</f>
        <v>NÃO</v>
      </c>
      <c r="B300" s="198">
        <f t="shared" si="123"/>
        <v>0</v>
      </c>
      <c r="C300" s="198" t="str">
        <f t="shared" si="124"/>
        <v>Formrol</v>
      </c>
      <c r="D300" s="179"/>
      <c r="E300" s="198" t="str">
        <f t="shared" si="125"/>
        <v>Planilha 1</v>
      </c>
      <c r="F300" s="198" t="str">
        <f t="shared" si="126"/>
        <v>Geral</v>
      </c>
      <c r="G300" s="198" t="s">
        <v>26</v>
      </c>
      <c r="H300" s="199">
        <f t="shared" si="141"/>
        <v>2034</v>
      </c>
      <c r="I300" s="200">
        <f t="shared" si="141"/>
        <v>0</v>
      </c>
      <c r="J300" s="200" t="str">
        <f>IF(controle_formulario!$C$39=1,controle_formulario!$C$37,controle_formulario!$C$38)</f>
        <v>Epidemiologico Beneficiarios Saude Suplementar</v>
      </c>
      <c r="K300" s="197" t="s">
        <v>171</v>
      </c>
      <c r="L300" s="197">
        <f t="shared" si="140"/>
        <v>0</v>
      </c>
      <c r="M300" s="201">
        <f t="shared" si="143"/>
        <v>0</v>
      </c>
      <c r="N300" s="201">
        <f t="shared" si="143"/>
        <v>0</v>
      </c>
      <c r="O300" s="197" t="s">
        <v>176</v>
      </c>
      <c r="P300" s="197" t="str">
        <f t="shared" si="139"/>
        <v>Taxa de difusão em X anos: XX%</v>
      </c>
      <c r="Q300" s="202">
        <f>'Market Share'!P48</f>
        <v>0</v>
      </c>
      <c r="R300" s="203">
        <f t="shared" ca="1" si="142"/>
        <v>0</v>
      </c>
      <c r="S300" s="204">
        <f t="shared" ca="1" si="142"/>
        <v>0</v>
      </c>
    </row>
    <row r="301" spans="1:19" ht="15" thickBot="1" x14ac:dyDescent="0.35">
      <c r="A301" s="205" t="str">
        <f>IF(AND(VALUE(RIGHT(O301,2))&lt;=controle_formulario!$E$16,VALUE(RIGHT(K301,2))&lt;=controle_formulario!$C$10,H301&lt;=Criterios!$C$31+controle_formulario!$I$16-1),"SIM","NÃO")</f>
        <v>NÃO</v>
      </c>
      <c r="B301" s="205">
        <f t="shared" si="123"/>
        <v>0</v>
      </c>
      <c r="C301" s="205" t="str">
        <f t="shared" si="124"/>
        <v>Formrol</v>
      </c>
      <c r="D301" s="180"/>
      <c r="E301" s="205" t="str">
        <f t="shared" si="125"/>
        <v>Planilha 1</v>
      </c>
      <c r="F301" s="205" t="str">
        <f t="shared" si="126"/>
        <v>Geral</v>
      </c>
      <c r="G301" s="205" t="s">
        <v>27</v>
      </c>
      <c r="H301" s="212">
        <f t="shared" si="141"/>
        <v>2035</v>
      </c>
      <c r="I301" s="213">
        <f t="shared" si="141"/>
        <v>0</v>
      </c>
      <c r="J301" s="213" t="str">
        <f>IF(controle_formulario!$C$39=1,controle_formulario!$C$37,controle_formulario!$C$38)</f>
        <v>Epidemiologico Beneficiarios Saude Suplementar</v>
      </c>
      <c r="K301" s="214" t="s">
        <v>171</v>
      </c>
      <c r="L301" s="214">
        <f t="shared" si="140"/>
        <v>0</v>
      </c>
      <c r="M301" s="201">
        <f t="shared" si="143"/>
        <v>0</v>
      </c>
      <c r="N301" s="201">
        <f t="shared" si="143"/>
        <v>0</v>
      </c>
      <c r="O301" s="214" t="s">
        <v>176</v>
      </c>
      <c r="P301" s="214" t="str">
        <f t="shared" si="139"/>
        <v>Taxa de difusão em X anos: XX%</v>
      </c>
      <c r="Q301" s="215">
        <f>'Market Share'!P49</f>
        <v>0</v>
      </c>
      <c r="R301" s="216">
        <f t="shared" ca="1" si="142"/>
        <v>0</v>
      </c>
      <c r="S301" s="217">
        <f t="shared" ca="1" si="142"/>
        <v>0</v>
      </c>
    </row>
    <row r="302" spans="1:19" x14ac:dyDescent="0.3">
      <c r="A302" s="189" t="str">
        <f>IF(AND(VALUE(RIGHT(O302,2))&lt;=controle_formulario!$E$16,H302&lt;=Criterios!$C$31+controle_formulario!$I$16-1),"SIM","NÃO")</f>
        <v>NÃO</v>
      </c>
      <c r="B302" s="189">
        <f t="shared" si="123"/>
        <v>0</v>
      </c>
      <c r="C302" s="189" t="str">
        <f t="shared" si="124"/>
        <v>Formrol</v>
      </c>
      <c r="D302" s="177"/>
      <c r="E302" s="189" t="str">
        <f t="shared" si="125"/>
        <v>Planilha 1</v>
      </c>
      <c r="F302" s="189" t="str">
        <f t="shared" si="126"/>
        <v>Geral</v>
      </c>
      <c r="G302" s="189" t="s">
        <v>18</v>
      </c>
      <c r="H302" s="190">
        <f>H292</f>
        <v>2026</v>
      </c>
      <c r="I302" s="191">
        <f ca="1">I292</f>
        <v>35.902021176061034</v>
      </c>
      <c r="J302" s="191" t="str">
        <f>IF(controle_formulario!$C$39=1,controle_formulario!$C$37,controle_formulario!$C$38)</f>
        <v>Epidemiologico Beneficiarios Saude Suplementar</v>
      </c>
      <c r="K302" s="192" t="s">
        <v>157</v>
      </c>
      <c r="L302" s="192" t="str">
        <f t="shared" ref="L302:L311" si="144">trat.novo</f>
        <v>Pirtobrutinibe</v>
      </c>
      <c r="M302" s="193">
        <f>Resumo!$D$38</f>
        <v>470468.67999999976</v>
      </c>
      <c r="N302" s="193">
        <f>Resumo!$D$47</f>
        <v>0</v>
      </c>
      <c r="O302" s="192" t="s">
        <v>177</v>
      </c>
      <c r="P302" s="192" t="str">
        <f t="shared" ref="P302:P333" si="145">cen.alt6</f>
        <v>Taxa de difusão em X anos: XX%</v>
      </c>
      <c r="Q302" s="194">
        <f>'Market Share'!D56</f>
        <v>0</v>
      </c>
      <c r="R302" s="195">
        <f ca="1">Resumo!J56</f>
        <v>0</v>
      </c>
      <c r="S302" s="196">
        <f ca="1">Resumo!J72</f>
        <v>-4110544.4385289042</v>
      </c>
    </row>
    <row r="303" spans="1:19" x14ac:dyDescent="0.3">
      <c r="A303" s="198" t="str">
        <f>IF(AND(VALUE(RIGHT(O303,2))&lt;=controle_formulario!$E$16,H303&lt;=Criterios!$C$31+controle_formulario!$I$16-1),"SIM","NÃO")</f>
        <v>NÃO</v>
      </c>
      <c r="B303" s="198">
        <f t="shared" si="123"/>
        <v>0</v>
      </c>
      <c r="C303" s="198" t="str">
        <f t="shared" si="124"/>
        <v>Formrol</v>
      </c>
      <c r="D303" s="179"/>
      <c r="E303" s="198" t="str">
        <f t="shared" si="125"/>
        <v>Planilha 1</v>
      </c>
      <c r="F303" s="198" t="str">
        <f t="shared" si="126"/>
        <v>Geral</v>
      </c>
      <c r="G303" s="198" t="s">
        <v>19</v>
      </c>
      <c r="H303" s="199">
        <f t="shared" ref="H303:I311" si="146">H293</f>
        <v>2027</v>
      </c>
      <c r="I303" s="200">
        <f t="shared" ca="1" si="146"/>
        <v>36.027114594978322</v>
      </c>
      <c r="J303" s="200" t="str">
        <f>IF(controle_formulario!$C$39=1,controle_formulario!$C$37,controle_formulario!$C$38)</f>
        <v>Epidemiologico Beneficiarios Saude Suplementar</v>
      </c>
      <c r="K303" s="197" t="s">
        <v>157</v>
      </c>
      <c r="L303" s="197" t="str">
        <f t="shared" si="144"/>
        <v>Pirtobrutinibe</v>
      </c>
      <c r="M303" s="201">
        <f>M302</f>
        <v>470468.67999999976</v>
      </c>
      <c r="N303" s="201">
        <f>N302</f>
        <v>0</v>
      </c>
      <c r="O303" s="197" t="s">
        <v>177</v>
      </c>
      <c r="P303" s="197" t="str">
        <f t="shared" si="145"/>
        <v>Taxa de difusão em X anos: XX%</v>
      </c>
      <c r="Q303" s="202">
        <f>'Market Share'!D57</f>
        <v>0</v>
      </c>
      <c r="R303" s="203">
        <f ca="1">Resumo!J57</f>
        <v>0</v>
      </c>
      <c r="S303" s="204">
        <f ca="1">Resumo!J73</f>
        <v>-4124866.8092641174</v>
      </c>
    </row>
    <row r="304" spans="1:19" x14ac:dyDescent="0.3">
      <c r="A304" s="198" t="str">
        <f>IF(AND(VALUE(RIGHT(O304,2))&lt;=controle_formulario!$E$16,H304&lt;=Criterios!$C$31+controle_formulario!$I$16-1),"SIM","NÃO")</f>
        <v>NÃO</v>
      </c>
      <c r="B304" s="198">
        <f t="shared" si="123"/>
        <v>0</v>
      </c>
      <c r="C304" s="198" t="str">
        <f t="shared" si="124"/>
        <v>Formrol</v>
      </c>
      <c r="D304" s="179"/>
      <c r="E304" s="198" t="str">
        <f t="shared" si="125"/>
        <v>Planilha 1</v>
      </c>
      <c r="F304" s="198" t="str">
        <f t="shared" si="126"/>
        <v>Geral</v>
      </c>
      <c r="G304" s="198" t="s">
        <v>20</v>
      </c>
      <c r="H304" s="199">
        <f t="shared" si="146"/>
        <v>2028</v>
      </c>
      <c r="I304" s="200">
        <f t="shared" ca="1" si="146"/>
        <v>36.142742272880319</v>
      </c>
      <c r="J304" s="200" t="str">
        <f>IF(controle_formulario!$C$39=1,controle_formulario!$C$37,controle_formulario!$C$38)</f>
        <v>Epidemiologico Beneficiarios Saude Suplementar</v>
      </c>
      <c r="K304" s="197" t="s">
        <v>157</v>
      </c>
      <c r="L304" s="197" t="str">
        <f t="shared" si="144"/>
        <v>Pirtobrutinibe</v>
      </c>
      <c r="M304" s="201">
        <f t="shared" ref="M304:N311" si="147">M303</f>
        <v>470468.67999999976</v>
      </c>
      <c r="N304" s="201">
        <f t="shared" si="147"/>
        <v>0</v>
      </c>
      <c r="O304" s="197" t="s">
        <v>177</v>
      </c>
      <c r="P304" s="197" t="str">
        <f t="shared" si="145"/>
        <v>Taxa de difusão em X anos: XX%</v>
      </c>
      <c r="Q304" s="202">
        <f>'Market Share'!D58</f>
        <v>0</v>
      </c>
      <c r="R304" s="203">
        <f ca="1">Resumo!J58</f>
        <v>0</v>
      </c>
      <c r="S304" s="204">
        <f ca="1">Resumo!J74</f>
        <v>-4138105.4151356164</v>
      </c>
    </row>
    <row r="305" spans="1:19" x14ac:dyDescent="0.3">
      <c r="A305" s="198" t="str">
        <f>IF(AND(VALUE(RIGHT(O305,2))&lt;=controle_formulario!$E$16,H305&lt;=Criterios!$C$31+controle_formulario!$I$16-1),"SIM","NÃO")</f>
        <v>NÃO</v>
      </c>
      <c r="B305" s="198">
        <f t="shared" si="123"/>
        <v>0</v>
      </c>
      <c r="C305" s="198" t="str">
        <f t="shared" si="124"/>
        <v>Formrol</v>
      </c>
      <c r="D305" s="179"/>
      <c r="E305" s="198" t="str">
        <f t="shared" si="125"/>
        <v>Planilha 1</v>
      </c>
      <c r="F305" s="198" t="str">
        <f t="shared" si="126"/>
        <v>Geral</v>
      </c>
      <c r="G305" s="198" t="s">
        <v>21</v>
      </c>
      <c r="H305" s="199">
        <f t="shared" si="146"/>
        <v>2029</v>
      </c>
      <c r="I305" s="200">
        <f t="shared" ca="1" si="146"/>
        <v>36.250027878529522</v>
      </c>
      <c r="J305" s="200" t="str">
        <f>IF(controle_formulario!$C$39=1,controle_formulario!$C$37,controle_formulario!$C$38)</f>
        <v>Epidemiologico Beneficiarios Saude Suplementar</v>
      </c>
      <c r="K305" s="197" t="s">
        <v>157</v>
      </c>
      <c r="L305" s="197" t="str">
        <f t="shared" si="144"/>
        <v>Pirtobrutinibe</v>
      </c>
      <c r="M305" s="201">
        <f t="shared" si="147"/>
        <v>470468.67999999976</v>
      </c>
      <c r="N305" s="201">
        <f t="shared" si="147"/>
        <v>0</v>
      </c>
      <c r="O305" s="197" t="s">
        <v>177</v>
      </c>
      <c r="P305" s="197" t="str">
        <f t="shared" si="145"/>
        <v>Taxa de difusão em X anos: XX%</v>
      </c>
      <c r="Q305" s="202">
        <f>'Market Share'!D59</f>
        <v>0</v>
      </c>
      <c r="R305" s="203">
        <f ca="1">Resumo!J59</f>
        <v>0</v>
      </c>
      <c r="S305" s="204">
        <f ca="1">Resumo!J75</f>
        <v>-4150388.9087994657</v>
      </c>
    </row>
    <row r="306" spans="1:19" x14ac:dyDescent="0.3">
      <c r="A306" s="198" t="str">
        <f>IF(AND(VALUE(RIGHT(O306,2))&lt;=controle_formulario!$E$16,H306&lt;=Criterios!$C$31+controle_formulario!$I$16-1),"SIM","NÃO")</f>
        <v>NÃO</v>
      </c>
      <c r="B306" s="198">
        <f t="shared" si="123"/>
        <v>0</v>
      </c>
      <c r="C306" s="198" t="str">
        <f t="shared" si="124"/>
        <v>Formrol</v>
      </c>
      <c r="D306" s="179"/>
      <c r="E306" s="198" t="str">
        <f t="shared" si="125"/>
        <v>Planilha 1</v>
      </c>
      <c r="F306" s="198" t="str">
        <f t="shared" si="126"/>
        <v>Geral</v>
      </c>
      <c r="G306" s="198" t="s">
        <v>22</v>
      </c>
      <c r="H306" s="199">
        <f t="shared" si="146"/>
        <v>2030</v>
      </c>
      <c r="I306" s="200">
        <f t="shared" ca="1" si="146"/>
        <v>36.350592396534239</v>
      </c>
      <c r="J306" s="200" t="str">
        <f>IF(controle_formulario!$C$39=1,controle_formulario!$C$37,controle_formulario!$C$38)</f>
        <v>Epidemiologico Beneficiarios Saude Suplementar</v>
      </c>
      <c r="K306" s="197" t="s">
        <v>157</v>
      </c>
      <c r="L306" s="197" t="str">
        <f t="shared" si="144"/>
        <v>Pirtobrutinibe</v>
      </c>
      <c r="M306" s="201">
        <f t="shared" si="147"/>
        <v>470468.67999999976</v>
      </c>
      <c r="N306" s="201">
        <f t="shared" si="147"/>
        <v>0</v>
      </c>
      <c r="O306" s="197" t="s">
        <v>177</v>
      </c>
      <c r="P306" s="197" t="str">
        <f t="shared" si="145"/>
        <v>Taxa de difusão em X anos: XX%</v>
      </c>
      <c r="Q306" s="202">
        <f>'Market Share'!D60</f>
        <v>0</v>
      </c>
      <c r="R306" s="203">
        <f ca="1">Resumo!J60</f>
        <v>0</v>
      </c>
      <c r="S306" s="204">
        <f ca="1">Resumo!J76</f>
        <v>-4161902.8822933384</v>
      </c>
    </row>
    <row r="307" spans="1:19" x14ac:dyDescent="0.3">
      <c r="A307" s="198" t="str">
        <f>IF(AND(VALUE(RIGHT(O307,2))&lt;=controle_formulario!$E$16,H307&lt;=Criterios!$C$31+controle_formulario!$I$16-1),"SIM","NÃO")</f>
        <v>NÃO</v>
      </c>
      <c r="B307" s="198">
        <f t="shared" si="123"/>
        <v>0</v>
      </c>
      <c r="C307" s="198" t="str">
        <f t="shared" si="124"/>
        <v>Formrol</v>
      </c>
      <c r="D307" s="179"/>
      <c r="E307" s="198" t="str">
        <f t="shared" si="125"/>
        <v>Planilha 1</v>
      </c>
      <c r="F307" s="198" t="str">
        <f t="shared" si="126"/>
        <v>Geral</v>
      </c>
      <c r="G307" s="198" t="s">
        <v>23</v>
      </c>
      <c r="H307" s="199">
        <f t="shared" si="146"/>
        <v>2031</v>
      </c>
      <c r="I307" s="200">
        <f t="shared" si="146"/>
        <v>0</v>
      </c>
      <c r="J307" s="200" t="str">
        <f>IF(controle_formulario!$C$39=1,controle_formulario!$C$37,controle_formulario!$C$38)</f>
        <v>Epidemiologico Beneficiarios Saude Suplementar</v>
      </c>
      <c r="K307" s="197" t="s">
        <v>157</v>
      </c>
      <c r="L307" s="197" t="str">
        <f t="shared" si="144"/>
        <v>Pirtobrutinibe</v>
      </c>
      <c r="M307" s="201">
        <f t="shared" si="147"/>
        <v>470468.67999999976</v>
      </c>
      <c r="N307" s="201">
        <f t="shared" si="147"/>
        <v>0</v>
      </c>
      <c r="O307" s="197" t="s">
        <v>177</v>
      </c>
      <c r="P307" s="197" t="str">
        <f t="shared" si="145"/>
        <v>Taxa de difusão em X anos: XX%</v>
      </c>
      <c r="Q307" s="202">
        <f>'Market Share'!D61</f>
        <v>0</v>
      </c>
      <c r="R307" s="203">
        <f ca="1">Resumo!J61</f>
        <v>0</v>
      </c>
      <c r="S307" s="204">
        <f ca="1">Resumo!J77</f>
        <v>0</v>
      </c>
    </row>
    <row r="308" spans="1:19" x14ac:dyDescent="0.3">
      <c r="A308" s="198" t="str">
        <f>IF(AND(VALUE(RIGHT(O308,2))&lt;=controle_formulario!$E$16,H308&lt;=Criterios!$C$31+controle_formulario!$I$16-1),"SIM","NÃO")</f>
        <v>NÃO</v>
      </c>
      <c r="B308" s="198">
        <f t="shared" si="123"/>
        <v>0</v>
      </c>
      <c r="C308" s="198" t="str">
        <f t="shared" si="124"/>
        <v>Formrol</v>
      </c>
      <c r="D308" s="179"/>
      <c r="E308" s="198" t="str">
        <f t="shared" si="125"/>
        <v>Planilha 1</v>
      </c>
      <c r="F308" s="198" t="str">
        <f t="shared" si="126"/>
        <v>Geral</v>
      </c>
      <c r="G308" s="198" t="s">
        <v>24</v>
      </c>
      <c r="H308" s="199">
        <f t="shared" si="146"/>
        <v>2032</v>
      </c>
      <c r="I308" s="200">
        <f t="shared" si="146"/>
        <v>0</v>
      </c>
      <c r="J308" s="200" t="str">
        <f>IF(controle_formulario!$C$39=1,controle_formulario!$C$37,controle_formulario!$C$38)</f>
        <v>Epidemiologico Beneficiarios Saude Suplementar</v>
      </c>
      <c r="K308" s="197" t="s">
        <v>157</v>
      </c>
      <c r="L308" s="197" t="str">
        <f t="shared" si="144"/>
        <v>Pirtobrutinibe</v>
      </c>
      <c r="M308" s="201">
        <f t="shared" si="147"/>
        <v>470468.67999999976</v>
      </c>
      <c r="N308" s="201">
        <f t="shared" si="147"/>
        <v>0</v>
      </c>
      <c r="O308" s="197" t="s">
        <v>177</v>
      </c>
      <c r="P308" s="197" t="str">
        <f t="shared" si="145"/>
        <v>Taxa de difusão em X anos: XX%</v>
      </c>
      <c r="Q308" s="202">
        <f>'Market Share'!D62</f>
        <v>0</v>
      </c>
      <c r="R308" s="203">
        <f ca="1">Resumo!J62</f>
        <v>0</v>
      </c>
      <c r="S308" s="204">
        <f ca="1">Resumo!J78</f>
        <v>0</v>
      </c>
    </row>
    <row r="309" spans="1:19" x14ac:dyDescent="0.3">
      <c r="A309" s="198" t="str">
        <f>IF(AND(VALUE(RIGHT(O309,2))&lt;=controle_formulario!$E$16,H309&lt;=Criterios!$C$31+controle_formulario!$I$16-1),"SIM","NÃO")</f>
        <v>NÃO</v>
      </c>
      <c r="B309" s="198">
        <f t="shared" si="123"/>
        <v>0</v>
      </c>
      <c r="C309" s="198" t="str">
        <f t="shared" si="124"/>
        <v>Formrol</v>
      </c>
      <c r="D309" s="179"/>
      <c r="E309" s="198" t="str">
        <f t="shared" si="125"/>
        <v>Planilha 1</v>
      </c>
      <c r="F309" s="198" t="str">
        <f t="shared" si="126"/>
        <v>Geral</v>
      </c>
      <c r="G309" s="198" t="s">
        <v>25</v>
      </c>
      <c r="H309" s="199">
        <f t="shared" si="146"/>
        <v>2033</v>
      </c>
      <c r="I309" s="200">
        <f t="shared" si="146"/>
        <v>0</v>
      </c>
      <c r="J309" s="200" t="str">
        <f>IF(controle_formulario!$C$39=1,controle_formulario!$C$37,controle_formulario!$C$38)</f>
        <v>Epidemiologico Beneficiarios Saude Suplementar</v>
      </c>
      <c r="K309" s="197" t="s">
        <v>157</v>
      </c>
      <c r="L309" s="197" t="str">
        <f t="shared" si="144"/>
        <v>Pirtobrutinibe</v>
      </c>
      <c r="M309" s="201">
        <f t="shared" si="147"/>
        <v>470468.67999999976</v>
      </c>
      <c r="N309" s="201">
        <f t="shared" si="147"/>
        <v>0</v>
      </c>
      <c r="O309" s="197" t="s">
        <v>177</v>
      </c>
      <c r="P309" s="197" t="str">
        <f t="shared" si="145"/>
        <v>Taxa de difusão em X anos: XX%</v>
      </c>
      <c r="Q309" s="202">
        <f>'Market Share'!D63</f>
        <v>0</v>
      </c>
      <c r="R309" s="203">
        <f ca="1">Resumo!J63</f>
        <v>0</v>
      </c>
      <c r="S309" s="204">
        <f ca="1">Resumo!J79</f>
        <v>0</v>
      </c>
    </row>
    <row r="310" spans="1:19" x14ac:dyDescent="0.3">
      <c r="A310" s="198" t="str">
        <f>IF(AND(VALUE(RIGHT(O310,2))&lt;=controle_formulario!$E$16,H310&lt;=Criterios!$C$31+controle_formulario!$I$16-1),"SIM","NÃO")</f>
        <v>NÃO</v>
      </c>
      <c r="B310" s="198">
        <f t="shared" si="123"/>
        <v>0</v>
      </c>
      <c r="C310" s="198" t="str">
        <f t="shared" si="124"/>
        <v>Formrol</v>
      </c>
      <c r="D310" s="179"/>
      <c r="E310" s="198" t="str">
        <f t="shared" si="125"/>
        <v>Planilha 1</v>
      </c>
      <c r="F310" s="198" t="str">
        <f t="shared" si="126"/>
        <v>Geral</v>
      </c>
      <c r="G310" s="198" t="s">
        <v>26</v>
      </c>
      <c r="H310" s="199">
        <f t="shared" si="146"/>
        <v>2034</v>
      </c>
      <c r="I310" s="200">
        <f t="shared" si="146"/>
        <v>0</v>
      </c>
      <c r="J310" s="200" t="str">
        <f>IF(controle_formulario!$C$39=1,controle_formulario!$C$37,controle_formulario!$C$38)</f>
        <v>Epidemiologico Beneficiarios Saude Suplementar</v>
      </c>
      <c r="K310" s="197" t="s">
        <v>157</v>
      </c>
      <c r="L310" s="197" t="str">
        <f t="shared" si="144"/>
        <v>Pirtobrutinibe</v>
      </c>
      <c r="M310" s="201">
        <f t="shared" si="147"/>
        <v>470468.67999999976</v>
      </c>
      <c r="N310" s="201">
        <f t="shared" si="147"/>
        <v>0</v>
      </c>
      <c r="O310" s="197" t="s">
        <v>177</v>
      </c>
      <c r="P310" s="197" t="str">
        <f t="shared" si="145"/>
        <v>Taxa de difusão em X anos: XX%</v>
      </c>
      <c r="Q310" s="202">
        <f>'Market Share'!D64</f>
        <v>0</v>
      </c>
      <c r="R310" s="203">
        <f ca="1">Resumo!J64</f>
        <v>0</v>
      </c>
      <c r="S310" s="204">
        <f ca="1">Resumo!J80</f>
        <v>0</v>
      </c>
    </row>
    <row r="311" spans="1:19" ht="15" thickBot="1" x14ac:dyDescent="0.35">
      <c r="A311" s="205" t="str">
        <f>IF(AND(VALUE(RIGHT(O311,2))&lt;=controle_formulario!$E$16,H311&lt;=Criterios!$C$31+controle_formulario!$I$16-1),"SIM","NÃO")</f>
        <v>NÃO</v>
      </c>
      <c r="B311" s="205">
        <f t="shared" si="123"/>
        <v>0</v>
      </c>
      <c r="C311" s="205" t="str">
        <f t="shared" si="124"/>
        <v>Formrol</v>
      </c>
      <c r="D311" s="180"/>
      <c r="E311" s="205" t="str">
        <f t="shared" si="125"/>
        <v>Planilha 1</v>
      </c>
      <c r="F311" s="205" t="str">
        <f t="shared" si="126"/>
        <v>Geral</v>
      </c>
      <c r="G311" s="205" t="s">
        <v>27</v>
      </c>
      <c r="H311" s="212">
        <f t="shared" si="146"/>
        <v>2035</v>
      </c>
      <c r="I311" s="213">
        <f t="shared" si="146"/>
        <v>0</v>
      </c>
      <c r="J311" s="207" t="str">
        <f>IF(controle_formulario!$C$39=1,controle_formulario!$C$37,controle_formulario!$C$38)</f>
        <v>Epidemiologico Beneficiarios Saude Suplementar</v>
      </c>
      <c r="K311" s="208" t="s">
        <v>157</v>
      </c>
      <c r="L311" s="208" t="str">
        <f t="shared" si="144"/>
        <v>Pirtobrutinibe</v>
      </c>
      <c r="M311" s="201">
        <f t="shared" si="147"/>
        <v>470468.67999999976</v>
      </c>
      <c r="N311" s="201">
        <f t="shared" si="147"/>
        <v>0</v>
      </c>
      <c r="O311" s="214" t="s">
        <v>177</v>
      </c>
      <c r="P311" s="214" t="str">
        <f t="shared" si="145"/>
        <v>Taxa de difusão em X anos: XX%</v>
      </c>
      <c r="Q311" s="209">
        <f>'Market Share'!D65</f>
        <v>0</v>
      </c>
      <c r="R311" s="216">
        <f ca="1">Resumo!J65</f>
        <v>0</v>
      </c>
      <c r="S311" s="217">
        <f ca="1">Resumo!J81</f>
        <v>0</v>
      </c>
    </row>
    <row r="312" spans="1:19" x14ac:dyDescent="0.3">
      <c r="A312" s="189" t="str">
        <f>IF(AND(VALUE(RIGHT(O312,2))&lt;=controle_formulario!$E$16,VALUE(RIGHT(K312,2))&lt;=controle_formulario!$C$10,H312&lt;=Criterios!$C$31+controle_formulario!$I$16-1),"SIM","NÃO")</f>
        <v>NÃO</v>
      </c>
      <c r="B312" s="189">
        <f t="shared" si="123"/>
        <v>0</v>
      </c>
      <c r="C312" s="189" t="str">
        <f t="shared" si="124"/>
        <v>Formrol</v>
      </c>
      <c r="D312" s="177"/>
      <c r="E312" s="189" t="str">
        <f t="shared" si="125"/>
        <v>Planilha 1</v>
      </c>
      <c r="F312" s="189" t="str">
        <f t="shared" si="126"/>
        <v>Geral</v>
      </c>
      <c r="G312" s="189" t="s">
        <v>18</v>
      </c>
      <c r="H312" s="190">
        <f>H302</f>
        <v>2026</v>
      </c>
      <c r="I312" s="191">
        <f ca="1">I302</f>
        <v>35.902021176061034</v>
      </c>
      <c r="J312" s="191" t="str">
        <f>IF(controle_formulario!$C$39=1,controle_formulario!$C$37,controle_formulario!$C$38)</f>
        <v>Epidemiologico Beneficiarios Saude Suplementar</v>
      </c>
      <c r="K312" s="192" t="s">
        <v>168</v>
      </c>
      <c r="L312" s="192" t="str">
        <f t="shared" ref="L312:L321" si="148">trat.a</f>
        <v xml:space="preserve"> Conjunto de Tratamentos-Padrão</v>
      </c>
      <c r="M312" s="193" t="e">
        <f>Resumo!$D$39</f>
        <v>#REF!</v>
      </c>
      <c r="N312" s="193">
        <f>Resumo!$D$48</f>
        <v>0</v>
      </c>
      <c r="O312" s="192" t="s">
        <v>177</v>
      </c>
      <c r="P312" s="192" t="str">
        <f t="shared" si="145"/>
        <v>Taxa de difusão em X anos: XX%</v>
      </c>
      <c r="Q312" s="194">
        <f>'Market Share'!E56</f>
        <v>0</v>
      </c>
      <c r="R312" s="195">
        <f ca="1">R302</f>
        <v>0</v>
      </c>
      <c r="S312" s="196">
        <f ca="1">S302</f>
        <v>-4110544.4385289042</v>
      </c>
    </row>
    <row r="313" spans="1:19" x14ac:dyDescent="0.3">
      <c r="A313" s="198" t="str">
        <f>IF(AND(VALUE(RIGHT(O313,2))&lt;=controle_formulario!$E$16,VALUE(RIGHT(K313,2))&lt;=controle_formulario!$C$10,H313&lt;=Criterios!$C$31+controle_formulario!$I$16-1),"SIM","NÃO")</f>
        <v>NÃO</v>
      </c>
      <c r="B313" s="198">
        <f t="shared" si="123"/>
        <v>0</v>
      </c>
      <c r="C313" s="198" t="str">
        <f t="shared" si="124"/>
        <v>Formrol</v>
      </c>
      <c r="D313" s="179"/>
      <c r="E313" s="198" t="str">
        <f t="shared" si="125"/>
        <v>Planilha 1</v>
      </c>
      <c r="F313" s="198" t="str">
        <f t="shared" si="126"/>
        <v>Geral</v>
      </c>
      <c r="G313" s="198" t="s">
        <v>19</v>
      </c>
      <c r="H313" s="199">
        <f t="shared" ref="H313:I321" si="149">H303</f>
        <v>2027</v>
      </c>
      <c r="I313" s="200">
        <f t="shared" ca="1" si="149"/>
        <v>36.027114594978322</v>
      </c>
      <c r="J313" s="200" t="str">
        <f>IF(controle_formulario!$C$39=1,controle_formulario!$C$37,controle_formulario!$C$38)</f>
        <v>Epidemiologico Beneficiarios Saude Suplementar</v>
      </c>
      <c r="K313" s="197" t="s">
        <v>168</v>
      </c>
      <c r="L313" s="197" t="str">
        <f t="shared" si="148"/>
        <v xml:space="preserve"> Conjunto de Tratamentos-Padrão</v>
      </c>
      <c r="M313" s="201" t="e">
        <f>M312</f>
        <v>#REF!</v>
      </c>
      <c r="N313" s="201">
        <f>N312</f>
        <v>0</v>
      </c>
      <c r="O313" s="197" t="s">
        <v>177</v>
      </c>
      <c r="P313" s="197" t="str">
        <f t="shared" si="145"/>
        <v>Taxa de difusão em X anos: XX%</v>
      </c>
      <c r="Q313" s="202">
        <f>'Market Share'!E57</f>
        <v>0</v>
      </c>
      <c r="R313" s="203">
        <f t="shared" ref="R313:S321" ca="1" si="150">R303</f>
        <v>0</v>
      </c>
      <c r="S313" s="204">
        <f t="shared" ca="1" si="150"/>
        <v>-4124866.8092641174</v>
      </c>
    </row>
    <row r="314" spans="1:19" x14ac:dyDescent="0.3">
      <c r="A314" s="198" t="str">
        <f>IF(AND(VALUE(RIGHT(O314,2))&lt;=controle_formulario!$E$16,VALUE(RIGHT(K314,2))&lt;=controle_formulario!$C$10,H314&lt;=Criterios!$C$31+controle_formulario!$I$16-1),"SIM","NÃO")</f>
        <v>NÃO</v>
      </c>
      <c r="B314" s="198">
        <f t="shared" si="123"/>
        <v>0</v>
      </c>
      <c r="C314" s="198" t="str">
        <f t="shared" si="124"/>
        <v>Formrol</v>
      </c>
      <c r="D314" s="179"/>
      <c r="E314" s="198" t="str">
        <f t="shared" si="125"/>
        <v>Planilha 1</v>
      </c>
      <c r="F314" s="198" t="str">
        <f t="shared" si="126"/>
        <v>Geral</v>
      </c>
      <c r="G314" s="198" t="s">
        <v>20</v>
      </c>
      <c r="H314" s="199">
        <f t="shared" si="149"/>
        <v>2028</v>
      </c>
      <c r="I314" s="200">
        <f t="shared" ca="1" si="149"/>
        <v>36.142742272880319</v>
      </c>
      <c r="J314" s="200" t="str">
        <f>IF(controle_formulario!$C$39=1,controle_formulario!$C$37,controle_formulario!$C$38)</f>
        <v>Epidemiologico Beneficiarios Saude Suplementar</v>
      </c>
      <c r="K314" s="197" t="s">
        <v>168</v>
      </c>
      <c r="L314" s="197" t="str">
        <f t="shared" si="148"/>
        <v xml:space="preserve"> Conjunto de Tratamentos-Padrão</v>
      </c>
      <c r="M314" s="201" t="e">
        <f t="shared" ref="M314:N321" si="151">M313</f>
        <v>#REF!</v>
      </c>
      <c r="N314" s="201">
        <f t="shared" si="151"/>
        <v>0</v>
      </c>
      <c r="O314" s="197" t="s">
        <v>177</v>
      </c>
      <c r="P314" s="197" t="str">
        <f t="shared" si="145"/>
        <v>Taxa de difusão em X anos: XX%</v>
      </c>
      <c r="Q314" s="202">
        <f>'Market Share'!E58</f>
        <v>0</v>
      </c>
      <c r="R314" s="203">
        <f t="shared" ca="1" si="150"/>
        <v>0</v>
      </c>
      <c r="S314" s="204">
        <f t="shared" ca="1" si="150"/>
        <v>-4138105.4151356164</v>
      </c>
    </row>
    <row r="315" spans="1:19" x14ac:dyDescent="0.3">
      <c r="A315" s="198" t="str">
        <f>IF(AND(VALUE(RIGHT(O315,2))&lt;=controle_formulario!$E$16,VALUE(RIGHT(K315,2))&lt;=controle_formulario!$C$10,H315&lt;=Criterios!$C$31+controle_formulario!$I$16-1),"SIM","NÃO")</f>
        <v>NÃO</v>
      </c>
      <c r="B315" s="198">
        <f t="shared" si="123"/>
        <v>0</v>
      </c>
      <c r="C315" s="198" t="str">
        <f t="shared" si="124"/>
        <v>Formrol</v>
      </c>
      <c r="D315" s="179"/>
      <c r="E315" s="198" t="str">
        <f t="shared" si="125"/>
        <v>Planilha 1</v>
      </c>
      <c r="F315" s="198" t="str">
        <f t="shared" si="126"/>
        <v>Geral</v>
      </c>
      <c r="G315" s="198" t="s">
        <v>21</v>
      </c>
      <c r="H315" s="199">
        <f t="shared" si="149"/>
        <v>2029</v>
      </c>
      <c r="I315" s="200">
        <f t="shared" ca="1" si="149"/>
        <v>36.250027878529522</v>
      </c>
      <c r="J315" s="200" t="str">
        <f>IF(controle_formulario!$C$39=1,controle_formulario!$C$37,controle_formulario!$C$38)</f>
        <v>Epidemiologico Beneficiarios Saude Suplementar</v>
      </c>
      <c r="K315" s="197" t="s">
        <v>168</v>
      </c>
      <c r="L315" s="197" t="str">
        <f t="shared" si="148"/>
        <v xml:space="preserve"> Conjunto de Tratamentos-Padrão</v>
      </c>
      <c r="M315" s="201" t="e">
        <f t="shared" si="151"/>
        <v>#REF!</v>
      </c>
      <c r="N315" s="201">
        <f t="shared" si="151"/>
        <v>0</v>
      </c>
      <c r="O315" s="197" t="s">
        <v>177</v>
      </c>
      <c r="P315" s="197" t="str">
        <f t="shared" si="145"/>
        <v>Taxa de difusão em X anos: XX%</v>
      </c>
      <c r="Q315" s="202">
        <f>'Market Share'!E59</f>
        <v>0</v>
      </c>
      <c r="R315" s="203">
        <f t="shared" ca="1" si="150"/>
        <v>0</v>
      </c>
      <c r="S315" s="204">
        <f t="shared" ca="1" si="150"/>
        <v>-4150388.9087994657</v>
      </c>
    </row>
    <row r="316" spans="1:19" x14ac:dyDescent="0.3">
      <c r="A316" s="198" t="str">
        <f>IF(AND(VALUE(RIGHT(O316,2))&lt;=controle_formulario!$E$16,VALUE(RIGHT(K316,2))&lt;=controle_formulario!$C$10,H316&lt;=Criterios!$C$31+controle_formulario!$I$16-1),"SIM","NÃO")</f>
        <v>NÃO</v>
      </c>
      <c r="B316" s="198">
        <f t="shared" si="123"/>
        <v>0</v>
      </c>
      <c r="C316" s="198" t="str">
        <f t="shared" si="124"/>
        <v>Formrol</v>
      </c>
      <c r="D316" s="179"/>
      <c r="E316" s="198" t="str">
        <f t="shared" si="125"/>
        <v>Planilha 1</v>
      </c>
      <c r="F316" s="198" t="str">
        <f t="shared" si="126"/>
        <v>Geral</v>
      </c>
      <c r="G316" s="198" t="s">
        <v>22</v>
      </c>
      <c r="H316" s="199">
        <f t="shared" si="149"/>
        <v>2030</v>
      </c>
      <c r="I316" s="200">
        <f t="shared" ca="1" si="149"/>
        <v>36.350592396534239</v>
      </c>
      <c r="J316" s="200" t="str">
        <f>IF(controle_formulario!$C$39=1,controle_formulario!$C$37,controle_formulario!$C$38)</f>
        <v>Epidemiologico Beneficiarios Saude Suplementar</v>
      </c>
      <c r="K316" s="197" t="s">
        <v>168</v>
      </c>
      <c r="L316" s="197" t="str">
        <f t="shared" si="148"/>
        <v xml:space="preserve"> Conjunto de Tratamentos-Padrão</v>
      </c>
      <c r="M316" s="201" t="e">
        <f t="shared" si="151"/>
        <v>#REF!</v>
      </c>
      <c r="N316" s="201">
        <f t="shared" si="151"/>
        <v>0</v>
      </c>
      <c r="O316" s="197" t="s">
        <v>177</v>
      </c>
      <c r="P316" s="197" t="str">
        <f t="shared" si="145"/>
        <v>Taxa de difusão em X anos: XX%</v>
      </c>
      <c r="Q316" s="202">
        <f>'Market Share'!E60</f>
        <v>0</v>
      </c>
      <c r="R316" s="203">
        <f t="shared" ca="1" si="150"/>
        <v>0</v>
      </c>
      <c r="S316" s="204">
        <f t="shared" ca="1" si="150"/>
        <v>-4161902.8822933384</v>
      </c>
    </row>
    <row r="317" spans="1:19" x14ac:dyDescent="0.3">
      <c r="A317" s="198" t="str">
        <f>IF(AND(VALUE(RIGHT(O317,2))&lt;=controle_formulario!$E$16,VALUE(RIGHT(K317,2))&lt;=controle_formulario!$C$10,H317&lt;=Criterios!$C$31+controle_formulario!$I$16-1),"SIM","NÃO")</f>
        <v>NÃO</v>
      </c>
      <c r="B317" s="198">
        <f t="shared" si="123"/>
        <v>0</v>
      </c>
      <c r="C317" s="198" t="str">
        <f t="shared" si="124"/>
        <v>Formrol</v>
      </c>
      <c r="D317" s="179"/>
      <c r="E317" s="198" t="str">
        <f t="shared" si="125"/>
        <v>Planilha 1</v>
      </c>
      <c r="F317" s="198" t="str">
        <f t="shared" si="126"/>
        <v>Geral</v>
      </c>
      <c r="G317" s="198" t="s">
        <v>23</v>
      </c>
      <c r="H317" s="199">
        <f t="shared" si="149"/>
        <v>2031</v>
      </c>
      <c r="I317" s="200">
        <f t="shared" si="149"/>
        <v>0</v>
      </c>
      <c r="J317" s="200" t="str">
        <f>IF(controle_formulario!$C$39=1,controle_formulario!$C$37,controle_formulario!$C$38)</f>
        <v>Epidemiologico Beneficiarios Saude Suplementar</v>
      </c>
      <c r="K317" s="197" t="s">
        <v>168</v>
      </c>
      <c r="L317" s="197" t="str">
        <f t="shared" si="148"/>
        <v xml:space="preserve"> Conjunto de Tratamentos-Padrão</v>
      </c>
      <c r="M317" s="201" t="e">
        <f t="shared" si="151"/>
        <v>#REF!</v>
      </c>
      <c r="N317" s="201">
        <f t="shared" si="151"/>
        <v>0</v>
      </c>
      <c r="O317" s="197" t="s">
        <v>177</v>
      </c>
      <c r="P317" s="197" t="str">
        <f t="shared" si="145"/>
        <v>Taxa de difusão em X anos: XX%</v>
      </c>
      <c r="Q317" s="202">
        <f>'Market Share'!E61</f>
        <v>0</v>
      </c>
      <c r="R317" s="203">
        <f t="shared" ca="1" si="150"/>
        <v>0</v>
      </c>
      <c r="S317" s="204">
        <f t="shared" ca="1" si="150"/>
        <v>0</v>
      </c>
    </row>
    <row r="318" spans="1:19" x14ac:dyDescent="0.3">
      <c r="A318" s="198" t="str">
        <f>IF(AND(VALUE(RIGHT(O318,2))&lt;=controle_formulario!$E$16,VALUE(RIGHT(K318,2))&lt;=controle_formulario!$C$10,H318&lt;=Criterios!$C$31+controle_formulario!$I$16-1),"SIM","NÃO")</f>
        <v>NÃO</v>
      </c>
      <c r="B318" s="198">
        <f t="shared" si="123"/>
        <v>0</v>
      </c>
      <c r="C318" s="198" t="str">
        <f t="shared" si="124"/>
        <v>Formrol</v>
      </c>
      <c r="D318" s="179"/>
      <c r="E318" s="198" t="str">
        <f t="shared" si="125"/>
        <v>Planilha 1</v>
      </c>
      <c r="F318" s="198" t="str">
        <f t="shared" si="126"/>
        <v>Geral</v>
      </c>
      <c r="G318" s="198" t="s">
        <v>24</v>
      </c>
      <c r="H318" s="199">
        <f t="shared" si="149"/>
        <v>2032</v>
      </c>
      <c r="I318" s="200">
        <f t="shared" si="149"/>
        <v>0</v>
      </c>
      <c r="J318" s="200" t="str">
        <f>IF(controle_formulario!$C$39=1,controle_formulario!$C$37,controle_formulario!$C$38)</f>
        <v>Epidemiologico Beneficiarios Saude Suplementar</v>
      </c>
      <c r="K318" s="197" t="s">
        <v>168</v>
      </c>
      <c r="L318" s="197" t="str">
        <f t="shared" si="148"/>
        <v xml:space="preserve"> Conjunto de Tratamentos-Padrão</v>
      </c>
      <c r="M318" s="201" t="e">
        <f t="shared" si="151"/>
        <v>#REF!</v>
      </c>
      <c r="N318" s="201">
        <f t="shared" si="151"/>
        <v>0</v>
      </c>
      <c r="O318" s="197" t="s">
        <v>177</v>
      </c>
      <c r="P318" s="197" t="str">
        <f t="shared" si="145"/>
        <v>Taxa de difusão em X anos: XX%</v>
      </c>
      <c r="Q318" s="202">
        <f>'Market Share'!E62</f>
        <v>0</v>
      </c>
      <c r="R318" s="203">
        <f t="shared" ca="1" si="150"/>
        <v>0</v>
      </c>
      <c r="S318" s="204">
        <f t="shared" ca="1" si="150"/>
        <v>0</v>
      </c>
    </row>
    <row r="319" spans="1:19" x14ac:dyDescent="0.3">
      <c r="A319" s="198" t="str">
        <f>IF(AND(VALUE(RIGHT(O319,2))&lt;=controle_formulario!$E$16,VALUE(RIGHT(K319,2))&lt;=controle_formulario!$C$10,H319&lt;=Criterios!$C$31+controle_formulario!$I$16-1),"SIM","NÃO")</f>
        <v>NÃO</v>
      </c>
      <c r="B319" s="198">
        <f t="shared" si="123"/>
        <v>0</v>
      </c>
      <c r="C319" s="198" t="str">
        <f t="shared" si="124"/>
        <v>Formrol</v>
      </c>
      <c r="D319" s="179"/>
      <c r="E319" s="198" t="str">
        <f t="shared" si="125"/>
        <v>Planilha 1</v>
      </c>
      <c r="F319" s="198" t="str">
        <f t="shared" si="126"/>
        <v>Geral</v>
      </c>
      <c r="G319" s="198" t="s">
        <v>25</v>
      </c>
      <c r="H319" s="199">
        <f t="shared" si="149"/>
        <v>2033</v>
      </c>
      <c r="I319" s="200">
        <f t="shared" si="149"/>
        <v>0</v>
      </c>
      <c r="J319" s="200" t="str">
        <f>IF(controle_formulario!$C$39=1,controle_formulario!$C$37,controle_formulario!$C$38)</f>
        <v>Epidemiologico Beneficiarios Saude Suplementar</v>
      </c>
      <c r="K319" s="197" t="s">
        <v>168</v>
      </c>
      <c r="L319" s="197" t="str">
        <f t="shared" si="148"/>
        <v xml:space="preserve"> Conjunto de Tratamentos-Padrão</v>
      </c>
      <c r="M319" s="201" t="e">
        <f t="shared" si="151"/>
        <v>#REF!</v>
      </c>
      <c r="N319" s="201">
        <f t="shared" si="151"/>
        <v>0</v>
      </c>
      <c r="O319" s="197" t="s">
        <v>177</v>
      </c>
      <c r="P319" s="197" t="str">
        <f t="shared" si="145"/>
        <v>Taxa de difusão em X anos: XX%</v>
      </c>
      <c r="Q319" s="202">
        <f>'Market Share'!E63</f>
        <v>0</v>
      </c>
      <c r="R319" s="203">
        <f t="shared" ca="1" si="150"/>
        <v>0</v>
      </c>
      <c r="S319" s="204">
        <f t="shared" ca="1" si="150"/>
        <v>0</v>
      </c>
    </row>
    <row r="320" spans="1:19" x14ac:dyDescent="0.3">
      <c r="A320" s="198" t="str">
        <f>IF(AND(VALUE(RIGHT(O320,2))&lt;=controle_formulario!$E$16,VALUE(RIGHT(K320,2))&lt;=controle_formulario!$C$10,H320&lt;=Criterios!$C$31+controle_formulario!$I$16-1),"SIM","NÃO")</f>
        <v>NÃO</v>
      </c>
      <c r="B320" s="198">
        <f t="shared" si="123"/>
        <v>0</v>
      </c>
      <c r="C320" s="198" t="str">
        <f t="shared" si="124"/>
        <v>Formrol</v>
      </c>
      <c r="D320" s="179"/>
      <c r="E320" s="198" t="str">
        <f t="shared" si="125"/>
        <v>Planilha 1</v>
      </c>
      <c r="F320" s="198" t="str">
        <f t="shared" si="126"/>
        <v>Geral</v>
      </c>
      <c r="G320" s="198" t="s">
        <v>26</v>
      </c>
      <c r="H320" s="199">
        <f t="shared" si="149"/>
        <v>2034</v>
      </c>
      <c r="I320" s="200">
        <f t="shared" si="149"/>
        <v>0</v>
      </c>
      <c r="J320" s="200" t="str">
        <f>IF(controle_formulario!$C$39=1,controle_formulario!$C$37,controle_formulario!$C$38)</f>
        <v>Epidemiologico Beneficiarios Saude Suplementar</v>
      </c>
      <c r="K320" s="197" t="s">
        <v>168</v>
      </c>
      <c r="L320" s="197" t="str">
        <f t="shared" si="148"/>
        <v xml:space="preserve"> Conjunto de Tratamentos-Padrão</v>
      </c>
      <c r="M320" s="201" t="e">
        <f t="shared" si="151"/>
        <v>#REF!</v>
      </c>
      <c r="N320" s="201">
        <f t="shared" si="151"/>
        <v>0</v>
      </c>
      <c r="O320" s="197" t="s">
        <v>177</v>
      </c>
      <c r="P320" s="197" t="str">
        <f t="shared" si="145"/>
        <v>Taxa de difusão em X anos: XX%</v>
      </c>
      <c r="Q320" s="202">
        <f>'Market Share'!E64</f>
        <v>0</v>
      </c>
      <c r="R320" s="203">
        <f t="shared" ca="1" si="150"/>
        <v>0</v>
      </c>
      <c r="S320" s="204">
        <f t="shared" ca="1" si="150"/>
        <v>0</v>
      </c>
    </row>
    <row r="321" spans="1:19" ht="15" thickBot="1" x14ac:dyDescent="0.35">
      <c r="A321" s="205" t="str">
        <f>IF(AND(VALUE(RIGHT(O321,2))&lt;=controle_formulario!$E$16,VALUE(RIGHT(K321,2))&lt;=controle_formulario!$C$10,H321&lt;=Criterios!$C$31+controle_formulario!$I$16-1),"SIM","NÃO")</f>
        <v>NÃO</v>
      </c>
      <c r="B321" s="205">
        <f t="shared" si="123"/>
        <v>0</v>
      </c>
      <c r="C321" s="205" t="str">
        <f t="shared" si="124"/>
        <v>Formrol</v>
      </c>
      <c r="D321" s="180"/>
      <c r="E321" s="205" t="str">
        <f t="shared" si="125"/>
        <v>Planilha 1</v>
      </c>
      <c r="F321" s="205" t="str">
        <f t="shared" si="126"/>
        <v>Geral</v>
      </c>
      <c r="G321" s="205" t="s">
        <v>27</v>
      </c>
      <c r="H321" s="206">
        <f t="shared" si="149"/>
        <v>2035</v>
      </c>
      <c r="I321" s="207">
        <f t="shared" si="149"/>
        <v>0</v>
      </c>
      <c r="J321" s="207" t="str">
        <f>IF(controle_formulario!$C$39=1,controle_formulario!$C$37,controle_formulario!$C$38)</f>
        <v>Epidemiologico Beneficiarios Saude Suplementar</v>
      </c>
      <c r="K321" s="208" t="s">
        <v>168</v>
      </c>
      <c r="L321" s="208" t="str">
        <f t="shared" si="148"/>
        <v xml:space="preserve"> Conjunto de Tratamentos-Padrão</v>
      </c>
      <c r="M321" s="201" t="e">
        <f t="shared" si="151"/>
        <v>#REF!</v>
      </c>
      <c r="N321" s="201">
        <f t="shared" si="151"/>
        <v>0</v>
      </c>
      <c r="O321" s="214" t="s">
        <v>177</v>
      </c>
      <c r="P321" s="214" t="str">
        <f t="shared" si="145"/>
        <v>Taxa de difusão em X anos: XX%</v>
      </c>
      <c r="Q321" s="209">
        <f>'Market Share'!E65</f>
        <v>0</v>
      </c>
      <c r="R321" s="216">
        <f t="shared" ca="1" si="150"/>
        <v>0</v>
      </c>
      <c r="S321" s="217">
        <f t="shared" ca="1" si="150"/>
        <v>0</v>
      </c>
    </row>
    <row r="322" spans="1:19" x14ac:dyDescent="0.3">
      <c r="A322" s="189" t="str">
        <f>IF(AND(VALUE(RIGHT(O322,2))&lt;=controle_formulario!$E$16,VALUE(RIGHT(K322,2))&lt;=controle_formulario!$C$10,H322&lt;=Criterios!$C$31+controle_formulario!$I$16-1),"SIM","NÃO")</f>
        <v>NÃO</v>
      </c>
      <c r="B322" s="189">
        <f t="shared" si="123"/>
        <v>0</v>
      </c>
      <c r="C322" s="189" t="str">
        <f t="shared" si="124"/>
        <v>Formrol</v>
      </c>
      <c r="D322" s="177"/>
      <c r="E322" s="189" t="str">
        <f t="shared" si="125"/>
        <v>Planilha 1</v>
      </c>
      <c r="F322" s="189" t="str">
        <f t="shared" si="126"/>
        <v>Geral</v>
      </c>
      <c r="G322" s="189" t="s">
        <v>18</v>
      </c>
      <c r="H322" s="190">
        <f>H312</f>
        <v>2026</v>
      </c>
      <c r="I322" s="191">
        <f ca="1">I312</f>
        <v>35.902021176061034</v>
      </c>
      <c r="J322" s="191" t="str">
        <f>IF(controle_formulario!$C$39=1,controle_formulario!$C$37,controle_formulario!$C$38)</f>
        <v>Epidemiologico Beneficiarios Saude Suplementar</v>
      </c>
      <c r="K322" s="192" t="s">
        <v>169</v>
      </c>
      <c r="L322" s="192">
        <f t="shared" ref="L322:L331" si="152">trat.b</f>
        <v>0</v>
      </c>
      <c r="M322" s="193">
        <f>Resumo!$D$40</f>
        <v>0</v>
      </c>
      <c r="N322" s="193">
        <f>Resumo!$D$49</f>
        <v>0</v>
      </c>
      <c r="O322" s="192" t="s">
        <v>177</v>
      </c>
      <c r="P322" s="192" t="str">
        <f t="shared" si="145"/>
        <v>Taxa de difusão em X anos: XX%</v>
      </c>
      <c r="Q322" s="194">
        <f>'Market Share'!F56</f>
        <v>0</v>
      </c>
      <c r="R322" s="195">
        <f ca="1">R312</f>
        <v>0</v>
      </c>
      <c r="S322" s="196">
        <f ca="1">S312</f>
        <v>-4110544.4385289042</v>
      </c>
    </row>
    <row r="323" spans="1:19" x14ac:dyDescent="0.3">
      <c r="A323" s="198" t="str">
        <f>IF(AND(VALUE(RIGHT(O323,2))&lt;=controle_formulario!$E$16,VALUE(RIGHT(K323,2))&lt;=controle_formulario!$C$10,H323&lt;=Criterios!$C$31+controle_formulario!$I$16-1),"SIM","NÃO")</f>
        <v>NÃO</v>
      </c>
      <c r="B323" s="198">
        <f t="shared" ref="B323:B386" si="153">$W$2</f>
        <v>0</v>
      </c>
      <c r="C323" s="198" t="str">
        <f t="shared" ref="C323:C386" si="154">$W$3</f>
        <v>Formrol</v>
      </c>
      <c r="D323" s="179"/>
      <c r="E323" s="198" t="str">
        <f t="shared" ref="E323:E386" si="155">$W$5</f>
        <v>Planilha 1</v>
      </c>
      <c r="F323" s="198" t="str">
        <f t="shared" ref="F323:F386" si="156">$W$6</f>
        <v>Geral</v>
      </c>
      <c r="G323" s="198" t="s">
        <v>19</v>
      </c>
      <c r="H323" s="199">
        <f t="shared" ref="H323:I331" si="157">H313</f>
        <v>2027</v>
      </c>
      <c r="I323" s="200">
        <f t="shared" ca="1" si="157"/>
        <v>36.027114594978322</v>
      </c>
      <c r="J323" s="200" t="str">
        <f>IF(controle_formulario!$C$39=1,controle_formulario!$C$37,controle_formulario!$C$38)</f>
        <v>Epidemiologico Beneficiarios Saude Suplementar</v>
      </c>
      <c r="K323" s="197" t="s">
        <v>169</v>
      </c>
      <c r="L323" s="197">
        <f t="shared" si="152"/>
        <v>0</v>
      </c>
      <c r="M323" s="201">
        <f>M322</f>
        <v>0</v>
      </c>
      <c r="N323" s="201">
        <f>N322</f>
        <v>0</v>
      </c>
      <c r="O323" s="197" t="s">
        <v>177</v>
      </c>
      <c r="P323" s="197" t="str">
        <f t="shared" si="145"/>
        <v>Taxa de difusão em X anos: XX%</v>
      </c>
      <c r="Q323" s="202">
        <f>'Market Share'!F57</f>
        <v>0</v>
      </c>
      <c r="R323" s="203">
        <f t="shared" ref="R323:S331" ca="1" si="158">R313</f>
        <v>0</v>
      </c>
      <c r="S323" s="204">
        <f t="shared" ca="1" si="158"/>
        <v>-4124866.8092641174</v>
      </c>
    </row>
    <row r="324" spans="1:19" x14ac:dyDescent="0.3">
      <c r="A324" s="198" t="str">
        <f>IF(AND(VALUE(RIGHT(O324,2))&lt;=controle_formulario!$E$16,VALUE(RIGHT(K324,2))&lt;=controle_formulario!$C$10,H324&lt;=Criterios!$C$31+controle_formulario!$I$16-1),"SIM","NÃO")</f>
        <v>NÃO</v>
      </c>
      <c r="B324" s="198">
        <f t="shared" si="153"/>
        <v>0</v>
      </c>
      <c r="C324" s="198" t="str">
        <f t="shared" si="154"/>
        <v>Formrol</v>
      </c>
      <c r="D324" s="179"/>
      <c r="E324" s="198" t="str">
        <f t="shared" si="155"/>
        <v>Planilha 1</v>
      </c>
      <c r="F324" s="198" t="str">
        <f t="shared" si="156"/>
        <v>Geral</v>
      </c>
      <c r="G324" s="198" t="s">
        <v>20</v>
      </c>
      <c r="H324" s="199">
        <f t="shared" si="157"/>
        <v>2028</v>
      </c>
      <c r="I324" s="200">
        <f t="shared" ca="1" si="157"/>
        <v>36.142742272880319</v>
      </c>
      <c r="J324" s="200" t="str">
        <f>IF(controle_formulario!$C$39=1,controle_formulario!$C$37,controle_formulario!$C$38)</f>
        <v>Epidemiologico Beneficiarios Saude Suplementar</v>
      </c>
      <c r="K324" s="197" t="s">
        <v>169</v>
      </c>
      <c r="L324" s="197">
        <f t="shared" si="152"/>
        <v>0</v>
      </c>
      <c r="M324" s="201">
        <f t="shared" ref="M324:N331" si="159">M323</f>
        <v>0</v>
      </c>
      <c r="N324" s="201">
        <f t="shared" si="159"/>
        <v>0</v>
      </c>
      <c r="O324" s="197" t="s">
        <v>177</v>
      </c>
      <c r="P324" s="197" t="str">
        <f t="shared" si="145"/>
        <v>Taxa de difusão em X anos: XX%</v>
      </c>
      <c r="Q324" s="202">
        <f>'Market Share'!F58</f>
        <v>0</v>
      </c>
      <c r="R324" s="203">
        <f t="shared" ca="1" si="158"/>
        <v>0</v>
      </c>
      <c r="S324" s="204">
        <f t="shared" ca="1" si="158"/>
        <v>-4138105.4151356164</v>
      </c>
    </row>
    <row r="325" spans="1:19" x14ac:dyDescent="0.3">
      <c r="A325" s="198" t="str">
        <f>IF(AND(VALUE(RIGHT(O325,2))&lt;=controle_formulario!$E$16,VALUE(RIGHT(K325,2))&lt;=controle_formulario!$C$10,H325&lt;=Criterios!$C$31+controle_formulario!$I$16-1),"SIM","NÃO")</f>
        <v>NÃO</v>
      </c>
      <c r="B325" s="198">
        <f t="shared" si="153"/>
        <v>0</v>
      </c>
      <c r="C325" s="198" t="str">
        <f t="shared" si="154"/>
        <v>Formrol</v>
      </c>
      <c r="D325" s="179"/>
      <c r="E325" s="198" t="str">
        <f t="shared" si="155"/>
        <v>Planilha 1</v>
      </c>
      <c r="F325" s="198" t="str">
        <f t="shared" si="156"/>
        <v>Geral</v>
      </c>
      <c r="G325" s="198" t="s">
        <v>21</v>
      </c>
      <c r="H325" s="199">
        <f t="shared" si="157"/>
        <v>2029</v>
      </c>
      <c r="I325" s="200">
        <f t="shared" ca="1" si="157"/>
        <v>36.250027878529522</v>
      </c>
      <c r="J325" s="200" t="str">
        <f>IF(controle_formulario!$C$39=1,controle_formulario!$C$37,controle_formulario!$C$38)</f>
        <v>Epidemiologico Beneficiarios Saude Suplementar</v>
      </c>
      <c r="K325" s="197" t="s">
        <v>169</v>
      </c>
      <c r="L325" s="197">
        <f t="shared" si="152"/>
        <v>0</v>
      </c>
      <c r="M325" s="201">
        <f t="shared" si="159"/>
        <v>0</v>
      </c>
      <c r="N325" s="201">
        <f t="shared" si="159"/>
        <v>0</v>
      </c>
      <c r="O325" s="197" t="s">
        <v>177</v>
      </c>
      <c r="P325" s="197" t="str">
        <f t="shared" si="145"/>
        <v>Taxa de difusão em X anos: XX%</v>
      </c>
      <c r="Q325" s="202">
        <f>'Market Share'!F59</f>
        <v>0</v>
      </c>
      <c r="R325" s="203">
        <f t="shared" ca="1" si="158"/>
        <v>0</v>
      </c>
      <c r="S325" s="204">
        <f t="shared" ca="1" si="158"/>
        <v>-4150388.9087994657</v>
      </c>
    </row>
    <row r="326" spans="1:19" x14ac:dyDescent="0.3">
      <c r="A326" s="198" t="str">
        <f>IF(AND(VALUE(RIGHT(O326,2))&lt;=controle_formulario!$E$16,VALUE(RIGHT(K326,2))&lt;=controle_formulario!$C$10,H326&lt;=Criterios!$C$31+controle_formulario!$I$16-1),"SIM","NÃO")</f>
        <v>NÃO</v>
      </c>
      <c r="B326" s="198">
        <f t="shared" si="153"/>
        <v>0</v>
      </c>
      <c r="C326" s="198" t="str">
        <f t="shared" si="154"/>
        <v>Formrol</v>
      </c>
      <c r="D326" s="179"/>
      <c r="E326" s="198" t="str">
        <f t="shared" si="155"/>
        <v>Planilha 1</v>
      </c>
      <c r="F326" s="198" t="str">
        <f t="shared" si="156"/>
        <v>Geral</v>
      </c>
      <c r="G326" s="198" t="s">
        <v>22</v>
      </c>
      <c r="H326" s="199">
        <f t="shared" si="157"/>
        <v>2030</v>
      </c>
      <c r="I326" s="200">
        <f t="shared" ca="1" si="157"/>
        <v>36.350592396534239</v>
      </c>
      <c r="J326" s="200" t="str">
        <f>IF(controle_formulario!$C$39=1,controle_formulario!$C$37,controle_formulario!$C$38)</f>
        <v>Epidemiologico Beneficiarios Saude Suplementar</v>
      </c>
      <c r="K326" s="197" t="s">
        <v>169</v>
      </c>
      <c r="L326" s="197">
        <f t="shared" si="152"/>
        <v>0</v>
      </c>
      <c r="M326" s="201">
        <f t="shared" si="159"/>
        <v>0</v>
      </c>
      <c r="N326" s="201">
        <f t="shared" si="159"/>
        <v>0</v>
      </c>
      <c r="O326" s="197" t="s">
        <v>177</v>
      </c>
      <c r="P326" s="197" t="str">
        <f t="shared" si="145"/>
        <v>Taxa de difusão em X anos: XX%</v>
      </c>
      <c r="Q326" s="202">
        <f>'Market Share'!F60</f>
        <v>0</v>
      </c>
      <c r="R326" s="203">
        <f t="shared" ca="1" si="158"/>
        <v>0</v>
      </c>
      <c r="S326" s="204">
        <f t="shared" ca="1" si="158"/>
        <v>-4161902.8822933384</v>
      </c>
    </row>
    <row r="327" spans="1:19" x14ac:dyDescent="0.3">
      <c r="A327" s="198" t="str">
        <f>IF(AND(VALUE(RIGHT(O327,2))&lt;=controle_formulario!$E$16,VALUE(RIGHT(K327,2))&lt;=controle_formulario!$C$10,H327&lt;=Criterios!$C$31+controle_formulario!$I$16-1),"SIM","NÃO")</f>
        <v>NÃO</v>
      </c>
      <c r="B327" s="198">
        <f t="shared" si="153"/>
        <v>0</v>
      </c>
      <c r="C327" s="198" t="str">
        <f t="shared" si="154"/>
        <v>Formrol</v>
      </c>
      <c r="D327" s="179"/>
      <c r="E327" s="198" t="str">
        <f t="shared" si="155"/>
        <v>Planilha 1</v>
      </c>
      <c r="F327" s="198" t="str">
        <f t="shared" si="156"/>
        <v>Geral</v>
      </c>
      <c r="G327" s="198" t="s">
        <v>23</v>
      </c>
      <c r="H327" s="199">
        <f t="shared" si="157"/>
        <v>2031</v>
      </c>
      <c r="I327" s="200">
        <f t="shared" si="157"/>
        <v>0</v>
      </c>
      <c r="J327" s="200" t="str">
        <f>IF(controle_formulario!$C$39=1,controle_formulario!$C$37,controle_formulario!$C$38)</f>
        <v>Epidemiologico Beneficiarios Saude Suplementar</v>
      </c>
      <c r="K327" s="197" t="s">
        <v>169</v>
      </c>
      <c r="L327" s="197">
        <f t="shared" si="152"/>
        <v>0</v>
      </c>
      <c r="M327" s="201">
        <f t="shared" si="159"/>
        <v>0</v>
      </c>
      <c r="N327" s="201">
        <f t="shared" si="159"/>
        <v>0</v>
      </c>
      <c r="O327" s="197" t="s">
        <v>177</v>
      </c>
      <c r="P327" s="197" t="str">
        <f t="shared" si="145"/>
        <v>Taxa de difusão em X anos: XX%</v>
      </c>
      <c r="Q327" s="202">
        <f>'Market Share'!F61</f>
        <v>0</v>
      </c>
      <c r="R327" s="203">
        <f t="shared" ca="1" si="158"/>
        <v>0</v>
      </c>
      <c r="S327" s="204">
        <f t="shared" ca="1" si="158"/>
        <v>0</v>
      </c>
    </row>
    <row r="328" spans="1:19" x14ac:dyDescent="0.3">
      <c r="A328" s="198" t="str">
        <f>IF(AND(VALUE(RIGHT(O328,2))&lt;=controle_formulario!$E$16,VALUE(RIGHT(K328,2))&lt;=controle_formulario!$C$10,H328&lt;=Criterios!$C$31+controle_formulario!$I$16-1),"SIM","NÃO")</f>
        <v>NÃO</v>
      </c>
      <c r="B328" s="198">
        <f t="shared" si="153"/>
        <v>0</v>
      </c>
      <c r="C328" s="198" t="str">
        <f t="shared" si="154"/>
        <v>Formrol</v>
      </c>
      <c r="D328" s="179"/>
      <c r="E328" s="198" t="str">
        <f t="shared" si="155"/>
        <v>Planilha 1</v>
      </c>
      <c r="F328" s="198" t="str">
        <f t="shared" si="156"/>
        <v>Geral</v>
      </c>
      <c r="G328" s="198" t="s">
        <v>24</v>
      </c>
      <c r="H328" s="199">
        <f t="shared" si="157"/>
        <v>2032</v>
      </c>
      <c r="I328" s="200">
        <f t="shared" si="157"/>
        <v>0</v>
      </c>
      <c r="J328" s="200" t="str">
        <f>IF(controle_formulario!$C$39=1,controle_formulario!$C$37,controle_formulario!$C$38)</f>
        <v>Epidemiologico Beneficiarios Saude Suplementar</v>
      </c>
      <c r="K328" s="197" t="s">
        <v>169</v>
      </c>
      <c r="L328" s="197">
        <f t="shared" si="152"/>
        <v>0</v>
      </c>
      <c r="M328" s="201">
        <f t="shared" si="159"/>
        <v>0</v>
      </c>
      <c r="N328" s="201">
        <f t="shared" si="159"/>
        <v>0</v>
      </c>
      <c r="O328" s="197" t="s">
        <v>177</v>
      </c>
      <c r="P328" s="197" t="str">
        <f t="shared" si="145"/>
        <v>Taxa de difusão em X anos: XX%</v>
      </c>
      <c r="Q328" s="202">
        <f>'Market Share'!F62</f>
        <v>0</v>
      </c>
      <c r="R328" s="203">
        <f t="shared" ca="1" si="158"/>
        <v>0</v>
      </c>
      <c r="S328" s="204">
        <f t="shared" ca="1" si="158"/>
        <v>0</v>
      </c>
    </row>
    <row r="329" spans="1:19" x14ac:dyDescent="0.3">
      <c r="A329" s="198" t="str">
        <f>IF(AND(VALUE(RIGHT(O329,2))&lt;=controle_formulario!$E$16,VALUE(RIGHT(K329,2))&lt;=controle_formulario!$C$10,H329&lt;=Criterios!$C$31+controle_formulario!$I$16-1),"SIM","NÃO")</f>
        <v>NÃO</v>
      </c>
      <c r="B329" s="198">
        <f t="shared" si="153"/>
        <v>0</v>
      </c>
      <c r="C329" s="198" t="str">
        <f t="shared" si="154"/>
        <v>Formrol</v>
      </c>
      <c r="D329" s="179"/>
      <c r="E329" s="198" t="str">
        <f t="shared" si="155"/>
        <v>Planilha 1</v>
      </c>
      <c r="F329" s="198" t="str">
        <f t="shared" si="156"/>
        <v>Geral</v>
      </c>
      <c r="G329" s="198" t="s">
        <v>25</v>
      </c>
      <c r="H329" s="199">
        <f t="shared" si="157"/>
        <v>2033</v>
      </c>
      <c r="I329" s="200">
        <f t="shared" si="157"/>
        <v>0</v>
      </c>
      <c r="J329" s="200" t="str">
        <f>IF(controle_formulario!$C$39=1,controle_formulario!$C$37,controle_formulario!$C$38)</f>
        <v>Epidemiologico Beneficiarios Saude Suplementar</v>
      </c>
      <c r="K329" s="197" t="s">
        <v>169</v>
      </c>
      <c r="L329" s="197">
        <f t="shared" si="152"/>
        <v>0</v>
      </c>
      <c r="M329" s="201">
        <f t="shared" si="159"/>
        <v>0</v>
      </c>
      <c r="N329" s="201">
        <f t="shared" si="159"/>
        <v>0</v>
      </c>
      <c r="O329" s="197" t="s">
        <v>177</v>
      </c>
      <c r="P329" s="197" t="str">
        <f t="shared" si="145"/>
        <v>Taxa de difusão em X anos: XX%</v>
      </c>
      <c r="Q329" s="202">
        <f>'Market Share'!F63</f>
        <v>0</v>
      </c>
      <c r="R329" s="203">
        <f t="shared" ca="1" si="158"/>
        <v>0</v>
      </c>
      <c r="S329" s="204">
        <f t="shared" ca="1" si="158"/>
        <v>0</v>
      </c>
    </row>
    <row r="330" spans="1:19" x14ac:dyDescent="0.3">
      <c r="A330" s="198" t="str">
        <f>IF(AND(VALUE(RIGHT(O330,2))&lt;=controle_formulario!$E$16,VALUE(RIGHT(K330,2))&lt;=controle_formulario!$C$10,H330&lt;=Criterios!$C$31+controle_formulario!$I$16-1),"SIM","NÃO")</f>
        <v>NÃO</v>
      </c>
      <c r="B330" s="198">
        <f t="shared" si="153"/>
        <v>0</v>
      </c>
      <c r="C330" s="198" t="str">
        <f t="shared" si="154"/>
        <v>Formrol</v>
      </c>
      <c r="D330" s="179"/>
      <c r="E330" s="198" t="str">
        <f t="shared" si="155"/>
        <v>Planilha 1</v>
      </c>
      <c r="F330" s="198" t="str">
        <f t="shared" si="156"/>
        <v>Geral</v>
      </c>
      <c r="G330" s="198" t="s">
        <v>26</v>
      </c>
      <c r="H330" s="199">
        <f t="shared" si="157"/>
        <v>2034</v>
      </c>
      <c r="I330" s="200">
        <f t="shared" si="157"/>
        <v>0</v>
      </c>
      <c r="J330" s="200" t="str">
        <f>IF(controle_formulario!$C$39=1,controle_formulario!$C$37,controle_formulario!$C$38)</f>
        <v>Epidemiologico Beneficiarios Saude Suplementar</v>
      </c>
      <c r="K330" s="197" t="s">
        <v>169</v>
      </c>
      <c r="L330" s="197">
        <f t="shared" si="152"/>
        <v>0</v>
      </c>
      <c r="M330" s="201">
        <f t="shared" si="159"/>
        <v>0</v>
      </c>
      <c r="N330" s="201">
        <f t="shared" si="159"/>
        <v>0</v>
      </c>
      <c r="O330" s="197" t="s">
        <v>177</v>
      </c>
      <c r="P330" s="197" t="str">
        <f t="shared" si="145"/>
        <v>Taxa de difusão em X anos: XX%</v>
      </c>
      <c r="Q330" s="202">
        <f>'Market Share'!F64</f>
        <v>0</v>
      </c>
      <c r="R330" s="203">
        <f t="shared" ca="1" si="158"/>
        <v>0</v>
      </c>
      <c r="S330" s="204">
        <f t="shared" ca="1" si="158"/>
        <v>0</v>
      </c>
    </row>
    <row r="331" spans="1:19" ht="15" thickBot="1" x14ac:dyDescent="0.35">
      <c r="A331" s="205" t="str">
        <f>IF(AND(VALUE(RIGHT(O331,2))&lt;=controle_formulario!$E$16,VALUE(RIGHT(K331,2))&lt;=controle_formulario!$C$10,H331&lt;=Criterios!$C$31+controle_formulario!$I$16-1),"SIM","NÃO")</f>
        <v>NÃO</v>
      </c>
      <c r="B331" s="205">
        <f t="shared" si="153"/>
        <v>0</v>
      </c>
      <c r="C331" s="205" t="str">
        <f t="shared" si="154"/>
        <v>Formrol</v>
      </c>
      <c r="D331" s="180"/>
      <c r="E331" s="205" t="str">
        <f t="shared" si="155"/>
        <v>Planilha 1</v>
      </c>
      <c r="F331" s="205" t="str">
        <f t="shared" si="156"/>
        <v>Geral</v>
      </c>
      <c r="G331" s="205" t="s">
        <v>27</v>
      </c>
      <c r="H331" s="212">
        <f t="shared" si="157"/>
        <v>2035</v>
      </c>
      <c r="I331" s="213">
        <f t="shared" si="157"/>
        <v>0</v>
      </c>
      <c r="J331" s="207" t="str">
        <f>IF(controle_formulario!$C$39=1,controle_formulario!$C$37,controle_formulario!$C$38)</f>
        <v>Epidemiologico Beneficiarios Saude Suplementar</v>
      </c>
      <c r="K331" s="208" t="s">
        <v>169</v>
      </c>
      <c r="L331" s="208">
        <f t="shared" si="152"/>
        <v>0</v>
      </c>
      <c r="M331" s="201">
        <f t="shared" si="159"/>
        <v>0</v>
      </c>
      <c r="N331" s="201">
        <f t="shared" si="159"/>
        <v>0</v>
      </c>
      <c r="O331" s="214" t="s">
        <v>177</v>
      </c>
      <c r="P331" s="214" t="str">
        <f t="shared" si="145"/>
        <v>Taxa de difusão em X anos: XX%</v>
      </c>
      <c r="Q331" s="209">
        <f>'Market Share'!F65</f>
        <v>0</v>
      </c>
      <c r="R331" s="216">
        <f t="shared" ca="1" si="158"/>
        <v>0</v>
      </c>
      <c r="S331" s="217">
        <f t="shared" ca="1" si="158"/>
        <v>0</v>
      </c>
    </row>
    <row r="332" spans="1:19" x14ac:dyDescent="0.3">
      <c r="A332" s="189" t="str">
        <f>IF(AND(VALUE(RIGHT(O332,2))&lt;=controle_formulario!$E$16,VALUE(RIGHT(K332,2))&lt;=controle_formulario!$C$10,H332&lt;=Criterios!$C$31+controle_formulario!$I$16-1),"SIM","NÃO")</f>
        <v>NÃO</v>
      </c>
      <c r="B332" s="189">
        <f t="shared" si="153"/>
        <v>0</v>
      </c>
      <c r="C332" s="189" t="str">
        <f t="shared" si="154"/>
        <v>Formrol</v>
      </c>
      <c r="D332" s="177"/>
      <c r="E332" s="189" t="str">
        <f t="shared" si="155"/>
        <v>Planilha 1</v>
      </c>
      <c r="F332" s="189" t="str">
        <f t="shared" si="156"/>
        <v>Geral</v>
      </c>
      <c r="G332" s="189" t="s">
        <v>18</v>
      </c>
      <c r="H332" s="190">
        <f>H322</f>
        <v>2026</v>
      </c>
      <c r="I332" s="191">
        <f ca="1">I322</f>
        <v>35.902021176061034</v>
      </c>
      <c r="J332" s="191" t="str">
        <f>IF(controle_formulario!$C$39=1,controle_formulario!$C$37,controle_formulario!$C$38)</f>
        <v>Epidemiologico Beneficiarios Saude Suplementar</v>
      </c>
      <c r="K332" s="192" t="s">
        <v>170</v>
      </c>
      <c r="L332" s="192">
        <f t="shared" ref="L332:L341" si="160">trat.c</f>
        <v>0</v>
      </c>
      <c r="M332" s="193">
        <f>Resumo!$D$41</f>
        <v>0</v>
      </c>
      <c r="N332" s="193">
        <f>Resumo!$D$50</f>
        <v>0</v>
      </c>
      <c r="O332" s="192" t="s">
        <v>177</v>
      </c>
      <c r="P332" s="192" t="str">
        <f t="shared" si="145"/>
        <v>Taxa de difusão em X anos: XX%</v>
      </c>
      <c r="Q332" s="194">
        <f>'Market Share'!G56</f>
        <v>0</v>
      </c>
      <c r="R332" s="195">
        <f ca="1">R322</f>
        <v>0</v>
      </c>
      <c r="S332" s="196">
        <f ca="1">S322</f>
        <v>-4110544.4385289042</v>
      </c>
    </row>
    <row r="333" spans="1:19" x14ac:dyDescent="0.3">
      <c r="A333" s="198" t="str">
        <f>IF(AND(VALUE(RIGHT(O333,2))&lt;=controle_formulario!$E$16,VALUE(RIGHT(K333,2))&lt;=controle_formulario!$C$10,H333&lt;=Criterios!$C$31+controle_formulario!$I$16-1),"SIM","NÃO")</f>
        <v>NÃO</v>
      </c>
      <c r="B333" s="198">
        <f t="shared" si="153"/>
        <v>0</v>
      </c>
      <c r="C333" s="198" t="str">
        <f t="shared" si="154"/>
        <v>Formrol</v>
      </c>
      <c r="D333" s="179"/>
      <c r="E333" s="198" t="str">
        <f t="shared" si="155"/>
        <v>Planilha 1</v>
      </c>
      <c r="F333" s="198" t="str">
        <f t="shared" si="156"/>
        <v>Geral</v>
      </c>
      <c r="G333" s="198" t="s">
        <v>19</v>
      </c>
      <c r="H333" s="199">
        <f t="shared" ref="H333:I341" si="161">H323</f>
        <v>2027</v>
      </c>
      <c r="I333" s="200">
        <f t="shared" ca="1" si="161"/>
        <v>36.027114594978322</v>
      </c>
      <c r="J333" s="200" t="str">
        <f>IF(controle_formulario!$C$39=1,controle_formulario!$C$37,controle_formulario!$C$38)</f>
        <v>Epidemiologico Beneficiarios Saude Suplementar</v>
      </c>
      <c r="K333" s="197" t="s">
        <v>170</v>
      </c>
      <c r="L333" s="197">
        <f t="shared" si="160"/>
        <v>0</v>
      </c>
      <c r="M333" s="201">
        <f>M332</f>
        <v>0</v>
      </c>
      <c r="N333" s="201">
        <f>N332</f>
        <v>0</v>
      </c>
      <c r="O333" s="197" t="s">
        <v>177</v>
      </c>
      <c r="P333" s="197" t="str">
        <f t="shared" si="145"/>
        <v>Taxa de difusão em X anos: XX%</v>
      </c>
      <c r="Q333" s="202">
        <f>'Market Share'!G57</f>
        <v>0</v>
      </c>
      <c r="R333" s="203">
        <f t="shared" ref="R333:S341" ca="1" si="162">R323</f>
        <v>0</v>
      </c>
      <c r="S333" s="204">
        <f t="shared" ca="1" si="162"/>
        <v>-4124866.8092641174</v>
      </c>
    </row>
    <row r="334" spans="1:19" x14ac:dyDescent="0.3">
      <c r="A334" s="198" t="str">
        <f>IF(AND(VALUE(RIGHT(O334,2))&lt;=controle_formulario!$E$16,VALUE(RIGHT(K334,2))&lt;=controle_formulario!$C$10,H334&lt;=Criterios!$C$31+controle_formulario!$I$16-1),"SIM","NÃO")</f>
        <v>NÃO</v>
      </c>
      <c r="B334" s="198">
        <f t="shared" si="153"/>
        <v>0</v>
      </c>
      <c r="C334" s="198" t="str">
        <f t="shared" si="154"/>
        <v>Formrol</v>
      </c>
      <c r="D334" s="179"/>
      <c r="E334" s="198" t="str">
        <f t="shared" si="155"/>
        <v>Planilha 1</v>
      </c>
      <c r="F334" s="198" t="str">
        <f t="shared" si="156"/>
        <v>Geral</v>
      </c>
      <c r="G334" s="198" t="s">
        <v>20</v>
      </c>
      <c r="H334" s="199">
        <f t="shared" si="161"/>
        <v>2028</v>
      </c>
      <c r="I334" s="200">
        <f t="shared" ca="1" si="161"/>
        <v>36.142742272880319</v>
      </c>
      <c r="J334" s="200" t="str">
        <f>IF(controle_formulario!$C$39=1,controle_formulario!$C$37,controle_formulario!$C$38)</f>
        <v>Epidemiologico Beneficiarios Saude Suplementar</v>
      </c>
      <c r="K334" s="197" t="s">
        <v>170</v>
      </c>
      <c r="L334" s="197">
        <f t="shared" si="160"/>
        <v>0</v>
      </c>
      <c r="M334" s="201">
        <f t="shared" ref="M334:N341" si="163">M333</f>
        <v>0</v>
      </c>
      <c r="N334" s="201">
        <f t="shared" si="163"/>
        <v>0</v>
      </c>
      <c r="O334" s="197" t="s">
        <v>177</v>
      </c>
      <c r="P334" s="197" t="str">
        <f t="shared" ref="P334:P351" si="164">cen.alt6</f>
        <v>Taxa de difusão em X anos: XX%</v>
      </c>
      <c r="Q334" s="202">
        <f>'Market Share'!G58</f>
        <v>0</v>
      </c>
      <c r="R334" s="203">
        <f t="shared" ca="1" si="162"/>
        <v>0</v>
      </c>
      <c r="S334" s="204">
        <f t="shared" ca="1" si="162"/>
        <v>-4138105.4151356164</v>
      </c>
    </row>
    <row r="335" spans="1:19" x14ac:dyDescent="0.3">
      <c r="A335" s="198" t="str">
        <f>IF(AND(VALUE(RIGHT(O335,2))&lt;=controle_formulario!$E$16,VALUE(RIGHT(K335,2))&lt;=controle_formulario!$C$10,H335&lt;=Criterios!$C$31+controle_formulario!$I$16-1),"SIM","NÃO")</f>
        <v>NÃO</v>
      </c>
      <c r="B335" s="198">
        <f t="shared" si="153"/>
        <v>0</v>
      </c>
      <c r="C335" s="198" t="str">
        <f t="shared" si="154"/>
        <v>Formrol</v>
      </c>
      <c r="D335" s="179"/>
      <c r="E335" s="198" t="str">
        <f t="shared" si="155"/>
        <v>Planilha 1</v>
      </c>
      <c r="F335" s="198" t="str">
        <f t="shared" si="156"/>
        <v>Geral</v>
      </c>
      <c r="G335" s="198" t="s">
        <v>21</v>
      </c>
      <c r="H335" s="199">
        <f t="shared" si="161"/>
        <v>2029</v>
      </c>
      <c r="I335" s="200">
        <f t="shared" ca="1" si="161"/>
        <v>36.250027878529522</v>
      </c>
      <c r="J335" s="200" t="str">
        <f>IF(controle_formulario!$C$39=1,controle_formulario!$C$37,controle_formulario!$C$38)</f>
        <v>Epidemiologico Beneficiarios Saude Suplementar</v>
      </c>
      <c r="K335" s="197" t="s">
        <v>170</v>
      </c>
      <c r="L335" s="197">
        <f t="shared" si="160"/>
        <v>0</v>
      </c>
      <c r="M335" s="201">
        <f t="shared" si="163"/>
        <v>0</v>
      </c>
      <c r="N335" s="201">
        <f t="shared" si="163"/>
        <v>0</v>
      </c>
      <c r="O335" s="197" t="s">
        <v>177</v>
      </c>
      <c r="P335" s="197" t="str">
        <f t="shared" si="164"/>
        <v>Taxa de difusão em X anos: XX%</v>
      </c>
      <c r="Q335" s="202">
        <f>'Market Share'!G59</f>
        <v>0</v>
      </c>
      <c r="R335" s="203">
        <f t="shared" ca="1" si="162"/>
        <v>0</v>
      </c>
      <c r="S335" s="204">
        <f t="shared" ca="1" si="162"/>
        <v>-4150388.9087994657</v>
      </c>
    </row>
    <row r="336" spans="1:19" x14ac:dyDescent="0.3">
      <c r="A336" s="198" t="str">
        <f>IF(AND(VALUE(RIGHT(O336,2))&lt;=controle_formulario!$E$16,VALUE(RIGHT(K336,2))&lt;=controle_formulario!$C$10,H336&lt;=Criterios!$C$31+controle_formulario!$I$16-1),"SIM","NÃO")</f>
        <v>NÃO</v>
      </c>
      <c r="B336" s="198">
        <f t="shared" si="153"/>
        <v>0</v>
      </c>
      <c r="C336" s="198" t="str">
        <f t="shared" si="154"/>
        <v>Formrol</v>
      </c>
      <c r="D336" s="179"/>
      <c r="E336" s="198" t="str">
        <f t="shared" si="155"/>
        <v>Planilha 1</v>
      </c>
      <c r="F336" s="198" t="str">
        <f t="shared" si="156"/>
        <v>Geral</v>
      </c>
      <c r="G336" s="198" t="s">
        <v>22</v>
      </c>
      <c r="H336" s="199">
        <f t="shared" si="161"/>
        <v>2030</v>
      </c>
      <c r="I336" s="200">
        <f t="shared" ca="1" si="161"/>
        <v>36.350592396534239</v>
      </c>
      <c r="J336" s="200" t="str">
        <f>IF(controle_formulario!$C$39=1,controle_formulario!$C$37,controle_formulario!$C$38)</f>
        <v>Epidemiologico Beneficiarios Saude Suplementar</v>
      </c>
      <c r="K336" s="197" t="s">
        <v>170</v>
      </c>
      <c r="L336" s="197">
        <f t="shared" si="160"/>
        <v>0</v>
      </c>
      <c r="M336" s="201">
        <f t="shared" si="163"/>
        <v>0</v>
      </c>
      <c r="N336" s="201">
        <f t="shared" si="163"/>
        <v>0</v>
      </c>
      <c r="O336" s="197" t="s">
        <v>177</v>
      </c>
      <c r="P336" s="197" t="str">
        <f t="shared" si="164"/>
        <v>Taxa de difusão em X anos: XX%</v>
      </c>
      <c r="Q336" s="202">
        <f>'Market Share'!G60</f>
        <v>0</v>
      </c>
      <c r="R336" s="203">
        <f t="shared" ca="1" si="162"/>
        <v>0</v>
      </c>
      <c r="S336" s="204">
        <f t="shared" ca="1" si="162"/>
        <v>-4161902.8822933384</v>
      </c>
    </row>
    <row r="337" spans="1:19" x14ac:dyDescent="0.3">
      <c r="A337" s="198" t="str">
        <f>IF(AND(VALUE(RIGHT(O337,2))&lt;=controle_formulario!$E$16,VALUE(RIGHT(K337,2))&lt;=controle_formulario!$C$10,H337&lt;=Criterios!$C$31+controle_formulario!$I$16-1),"SIM","NÃO")</f>
        <v>NÃO</v>
      </c>
      <c r="B337" s="198">
        <f t="shared" si="153"/>
        <v>0</v>
      </c>
      <c r="C337" s="198" t="str">
        <f t="shared" si="154"/>
        <v>Formrol</v>
      </c>
      <c r="D337" s="179"/>
      <c r="E337" s="198" t="str">
        <f t="shared" si="155"/>
        <v>Planilha 1</v>
      </c>
      <c r="F337" s="198" t="str">
        <f t="shared" si="156"/>
        <v>Geral</v>
      </c>
      <c r="G337" s="198" t="s">
        <v>23</v>
      </c>
      <c r="H337" s="199">
        <f t="shared" si="161"/>
        <v>2031</v>
      </c>
      <c r="I337" s="200">
        <f t="shared" si="161"/>
        <v>0</v>
      </c>
      <c r="J337" s="200" t="str">
        <f>IF(controle_formulario!$C$39=1,controle_formulario!$C$37,controle_formulario!$C$38)</f>
        <v>Epidemiologico Beneficiarios Saude Suplementar</v>
      </c>
      <c r="K337" s="197" t="s">
        <v>170</v>
      </c>
      <c r="L337" s="197">
        <f t="shared" si="160"/>
        <v>0</v>
      </c>
      <c r="M337" s="201">
        <f t="shared" si="163"/>
        <v>0</v>
      </c>
      <c r="N337" s="201">
        <f t="shared" si="163"/>
        <v>0</v>
      </c>
      <c r="O337" s="197" t="s">
        <v>177</v>
      </c>
      <c r="P337" s="197" t="str">
        <f t="shared" si="164"/>
        <v>Taxa de difusão em X anos: XX%</v>
      </c>
      <c r="Q337" s="202">
        <f>'Market Share'!G61</f>
        <v>0</v>
      </c>
      <c r="R337" s="203">
        <f t="shared" ca="1" si="162"/>
        <v>0</v>
      </c>
      <c r="S337" s="204">
        <f t="shared" ca="1" si="162"/>
        <v>0</v>
      </c>
    </row>
    <row r="338" spans="1:19" x14ac:dyDescent="0.3">
      <c r="A338" s="198" t="str">
        <f>IF(AND(VALUE(RIGHT(O338,2))&lt;=controle_formulario!$E$16,VALUE(RIGHT(K338,2))&lt;=controle_formulario!$C$10,H338&lt;=Criterios!$C$31+controle_formulario!$I$16-1),"SIM","NÃO")</f>
        <v>NÃO</v>
      </c>
      <c r="B338" s="198">
        <f t="shared" si="153"/>
        <v>0</v>
      </c>
      <c r="C338" s="198" t="str">
        <f t="shared" si="154"/>
        <v>Formrol</v>
      </c>
      <c r="D338" s="179"/>
      <c r="E338" s="198" t="str">
        <f t="shared" si="155"/>
        <v>Planilha 1</v>
      </c>
      <c r="F338" s="198" t="str">
        <f t="shared" si="156"/>
        <v>Geral</v>
      </c>
      <c r="G338" s="198" t="s">
        <v>24</v>
      </c>
      <c r="H338" s="199">
        <f t="shared" si="161"/>
        <v>2032</v>
      </c>
      <c r="I338" s="200">
        <f t="shared" si="161"/>
        <v>0</v>
      </c>
      <c r="J338" s="200" t="str">
        <f>IF(controle_formulario!$C$39=1,controle_formulario!$C$37,controle_formulario!$C$38)</f>
        <v>Epidemiologico Beneficiarios Saude Suplementar</v>
      </c>
      <c r="K338" s="197" t="s">
        <v>170</v>
      </c>
      <c r="L338" s="197">
        <f t="shared" si="160"/>
        <v>0</v>
      </c>
      <c r="M338" s="201">
        <f t="shared" si="163"/>
        <v>0</v>
      </c>
      <c r="N338" s="201">
        <f t="shared" si="163"/>
        <v>0</v>
      </c>
      <c r="O338" s="197" t="s">
        <v>177</v>
      </c>
      <c r="P338" s="197" t="str">
        <f t="shared" si="164"/>
        <v>Taxa de difusão em X anos: XX%</v>
      </c>
      <c r="Q338" s="202">
        <f>'Market Share'!G62</f>
        <v>0</v>
      </c>
      <c r="R338" s="203">
        <f t="shared" ca="1" si="162"/>
        <v>0</v>
      </c>
      <c r="S338" s="204">
        <f t="shared" ca="1" si="162"/>
        <v>0</v>
      </c>
    </row>
    <row r="339" spans="1:19" x14ac:dyDescent="0.3">
      <c r="A339" s="198" t="str">
        <f>IF(AND(VALUE(RIGHT(O339,2))&lt;=controle_formulario!$E$16,VALUE(RIGHT(K339,2))&lt;=controle_formulario!$C$10,H339&lt;=Criterios!$C$31+controle_formulario!$I$16-1),"SIM","NÃO")</f>
        <v>NÃO</v>
      </c>
      <c r="B339" s="198">
        <f t="shared" si="153"/>
        <v>0</v>
      </c>
      <c r="C339" s="198" t="str">
        <f t="shared" si="154"/>
        <v>Formrol</v>
      </c>
      <c r="D339" s="179"/>
      <c r="E339" s="198" t="str">
        <f t="shared" si="155"/>
        <v>Planilha 1</v>
      </c>
      <c r="F339" s="198" t="str">
        <f t="shared" si="156"/>
        <v>Geral</v>
      </c>
      <c r="G339" s="198" t="s">
        <v>25</v>
      </c>
      <c r="H339" s="199">
        <f t="shared" si="161"/>
        <v>2033</v>
      </c>
      <c r="I339" s="200">
        <f t="shared" si="161"/>
        <v>0</v>
      </c>
      <c r="J339" s="200" t="str">
        <f>IF(controle_formulario!$C$39=1,controle_formulario!$C$37,controle_formulario!$C$38)</f>
        <v>Epidemiologico Beneficiarios Saude Suplementar</v>
      </c>
      <c r="K339" s="197" t="s">
        <v>170</v>
      </c>
      <c r="L339" s="197">
        <f t="shared" si="160"/>
        <v>0</v>
      </c>
      <c r="M339" s="201">
        <f t="shared" si="163"/>
        <v>0</v>
      </c>
      <c r="N339" s="201">
        <f t="shared" si="163"/>
        <v>0</v>
      </c>
      <c r="O339" s="197" t="s">
        <v>177</v>
      </c>
      <c r="P339" s="197" t="str">
        <f t="shared" si="164"/>
        <v>Taxa de difusão em X anos: XX%</v>
      </c>
      <c r="Q339" s="202">
        <f>'Market Share'!G63</f>
        <v>0</v>
      </c>
      <c r="R339" s="203">
        <f t="shared" ca="1" si="162"/>
        <v>0</v>
      </c>
      <c r="S339" s="204">
        <f t="shared" ca="1" si="162"/>
        <v>0</v>
      </c>
    </row>
    <row r="340" spans="1:19" x14ac:dyDescent="0.3">
      <c r="A340" s="198" t="str">
        <f>IF(AND(VALUE(RIGHT(O340,2))&lt;=controle_formulario!$E$16,VALUE(RIGHT(K340,2))&lt;=controle_formulario!$C$10,H340&lt;=Criterios!$C$31+controle_formulario!$I$16-1),"SIM","NÃO")</f>
        <v>NÃO</v>
      </c>
      <c r="B340" s="198">
        <f t="shared" si="153"/>
        <v>0</v>
      </c>
      <c r="C340" s="198" t="str">
        <f t="shared" si="154"/>
        <v>Formrol</v>
      </c>
      <c r="D340" s="179"/>
      <c r="E340" s="198" t="str">
        <f t="shared" si="155"/>
        <v>Planilha 1</v>
      </c>
      <c r="F340" s="198" t="str">
        <f t="shared" si="156"/>
        <v>Geral</v>
      </c>
      <c r="G340" s="198" t="s">
        <v>26</v>
      </c>
      <c r="H340" s="199">
        <f t="shared" si="161"/>
        <v>2034</v>
      </c>
      <c r="I340" s="200">
        <f t="shared" si="161"/>
        <v>0</v>
      </c>
      <c r="J340" s="200" t="str">
        <f>IF(controle_formulario!$C$39=1,controle_formulario!$C$37,controle_formulario!$C$38)</f>
        <v>Epidemiologico Beneficiarios Saude Suplementar</v>
      </c>
      <c r="K340" s="197" t="s">
        <v>170</v>
      </c>
      <c r="L340" s="197">
        <f t="shared" si="160"/>
        <v>0</v>
      </c>
      <c r="M340" s="201">
        <f t="shared" si="163"/>
        <v>0</v>
      </c>
      <c r="N340" s="201">
        <f t="shared" si="163"/>
        <v>0</v>
      </c>
      <c r="O340" s="197" t="s">
        <v>177</v>
      </c>
      <c r="P340" s="197" t="str">
        <f t="shared" si="164"/>
        <v>Taxa de difusão em X anos: XX%</v>
      </c>
      <c r="Q340" s="202">
        <f>'Market Share'!G64</f>
        <v>0</v>
      </c>
      <c r="R340" s="203">
        <f t="shared" ca="1" si="162"/>
        <v>0</v>
      </c>
      <c r="S340" s="204">
        <f t="shared" ca="1" si="162"/>
        <v>0</v>
      </c>
    </row>
    <row r="341" spans="1:19" ht="15" thickBot="1" x14ac:dyDescent="0.35">
      <c r="A341" s="205" t="str">
        <f>IF(AND(VALUE(RIGHT(O341,2))&lt;=controle_formulario!$E$16,VALUE(RIGHT(K341,2))&lt;=controle_formulario!$C$10,H341&lt;=Criterios!$C$31+controle_formulario!$I$16-1),"SIM","NÃO")</f>
        <v>NÃO</v>
      </c>
      <c r="B341" s="205">
        <f t="shared" si="153"/>
        <v>0</v>
      </c>
      <c r="C341" s="205" t="str">
        <f t="shared" si="154"/>
        <v>Formrol</v>
      </c>
      <c r="D341" s="180"/>
      <c r="E341" s="205" t="str">
        <f t="shared" si="155"/>
        <v>Planilha 1</v>
      </c>
      <c r="F341" s="205" t="str">
        <f t="shared" si="156"/>
        <v>Geral</v>
      </c>
      <c r="G341" s="205" t="s">
        <v>27</v>
      </c>
      <c r="H341" s="206">
        <f t="shared" si="161"/>
        <v>2035</v>
      </c>
      <c r="I341" s="207">
        <f t="shared" si="161"/>
        <v>0</v>
      </c>
      <c r="J341" s="207" t="str">
        <f>IF(controle_formulario!$C$39=1,controle_formulario!$C$37,controle_formulario!$C$38)</f>
        <v>Epidemiologico Beneficiarios Saude Suplementar</v>
      </c>
      <c r="K341" s="208" t="s">
        <v>170</v>
      </c>
      <c r="L341" s="208">
        <f t="shared" si="160"/>
        <v>0</v>
      </c>
      <c r="M341" s="201">
        <f t="shared" si="163"/>
        <v>0</v>
      </c>
      <c r="N341" s="201">
        <f t="shared" si="163"/>
        <v>0</v>
      </c>
      <c r="O341" s="214" t="s">
        <v>177</v>
      </c>
      <c r="P341" s="214" t="str">
        <f t="shared" si="164"/>
        <v>Taxa de difusão em X anos: XX%</v>
      </c>
      <c r="Q341" s="209">
        <f>'Market Share'!G65</f>
        <v>0</v>
      </c>
      <c r="R341" s="216">
        <f t="shared" ca="1" si="162"/>
        <v>0</v>
      </c>
      <c r="S341" s="217">
        <f t="shared" ca="1" si="162"/>
        <v>0</v>
      </c>
    </row>
    <row r="342" spans="1:19" x14ac:dyDescent="0.3">
      <c r="A342" s="189" t="str">
        <f>IF(AND(VALUE(RIGHT(O342,2))&lt;=controle_formulario!$E$16,VALUE(RIGHT(K342,2))&lt;=controle_formulario!$C$10,H342&lt;=Criterios!$C$31+controle_formulario!$I$16-1),"SIM","NÃO")</f>
        <v>NÃO</v>
      </c>
      <c r="B342" s="189">
        <f t="shared" si="153"/>
        <v>0</v>
      </c>
      <c r="C342" s="189" t="str">
        <f t="shared" si="154"/>
        <v>Formrol</v>
      </c>
      <c r="D342" s="177"/>
      <c r="E342" s="189" t="str">
        <f t="shared" si="155"/>
        <v>Planilha 1</v>
      </c>
      <c r="F342" s="189" t="str">
        <f t="shared" si="156"/>
        <v>Geral</v>
      </c>
      <c r="G342" s="189" t="s">
        <v>18</v>
      </c>
      <c r="H342" s="190">
        <f>H332</f>
        <v>2026</v>
      </c>
      <c r="I342" s="191">
        <f ca="1">I332</f>
        <v>35.902021176061034</v>
      </c>
      <c r="J342" s="191" t="str">
        <f>IF(controle_formulario!$C$39=1,controle_formulario!$C$37,controle_formulario!$C$38)</f>
        <v>Epidemiologico Beneficiarios Saude Suplementar</v>
      </c>
      <c r="K342" s="192" t="s">
        <v>171</v>
      </c>
      <c r="L342" s="192">
        <f t="shared" ref="L342:L351" si="165">trat.d</f>
        <v>0</v>
      </c>
      <c r="M342" s="193">
        <f>Resumo!$D$42</f>
        <v>0</v>
      </c>
      <c r="N342" s="193">
        <f>Resumo!$D$51</f>
        <v>0</v>
      </c>
      <c r="O342" s="192" t="s">
        <v>177</v>
      </c>
      <c r="P342" s="192" t="str">
        <f t="shared" si="164"/>
        <v>Taxa de difusão em X anos: XX%</v>
      </c>
      <c r="Q342" s="194">
        <f>'Market Share'!H56</f>
        <v>0</v>
      </c>
      <c r="R342" s="195">
        <f ca="1">R332</f>
        <v>0</v>
      </c>
      <c r="S342" s="196">
        <f ca="1">S332</f>
        <v>-4110544.4385289042</v>
      </c>
    </row>
    <row r="343" spans="1:19" x14ac:dyDescent="0.3">
      <c r="A343" s="198" t="str">
        <f>IF(AND(VALUE(RIGHT(O343,2))&lt;=controle_formulario!$E$16,VALUE(RIGHT(K343,2))&lt;=controle_formulario!$C$10,H343&lt;=Criterios!$C$31+controle_formulario!$I$16-1),"SIM","NÃO")</f>
        <v>NÃO</v>
      </c>
      <c r="B343" s="198">
        <f t="shared" si="153"/>
        <v>0</v>
      </c>
      <c r="C343" s="198" t="str">
        <f t="shared" si="154"/>
        <v>Formrol</v>
      </c>
      <c r="D343" s="179"/>
      <c r="E343" s="198" t="str">
        <f t="shared" si="155"/>
        <v>Planilha 1</v>
      </c>
      <c r="F343" s="198" t="str">
        <f t="shared" si="156"/>
        <v>Geral</v>
      </c>
      <c r="G343" s="198" t="s">
        <v>19</v>
      </c>
      <c r="H343" s="199">
        <f t="shared" ref="H343:I351" si="166">H333</f>
        <v>2027</v>
      </c>
      <c r="I343" s="200">
        <f t="shared" ca="1" si="166"/>
        <v>36.027114594978322</v>
      </c>
      <c r="J343" s="200" t="str">
        <f>IF(controle_formulario!$C$39=1,controle_formulario!$C$37,controle_formulario!$C$38)</f>
        <v>Epidemiologico Beneficiarios Saude Suplementar</v>
      </c>
      <c r="K343" s="197" t="s">
        <v>171</v>
      </c>
      <c r="L343" s="197">
        <f t="shared" si="165"/>
        <v>0</v>
      </c>
      <c r="M343" s="201">
        <f>M342</f>
        <v>0</v>
      </c>
      <c r="N343" s="201">
        <f>N342</f>
        <v>0</v>
      </c>
      <c r="O343" s="197" t="s">
        <v>177</v>
      </c>
      <c r="P343" s="197" t="str">
        <f t="shared" si="164"/>
        <v>Taxa de difusão em X anos: XX%</v>
      </c>
      <c r="Q343" s="202">
        <f>'Market Share'!H57</f>
        <v>0</v>
      </c>
      <c r="R343" s="203">
        <f t="shared" ref="R343:S351" ca="1" si="167">R333</f>
        <v>0</v>
      </c>
      <c r="S343" s="204">
        <f t="shared" ca="1" si="167"/>
        <v>-4124866.8092641174</v>
      </c>
    </row>
    <row r="344" spans="1:19" x14ac:dyDescent="0.3">
      <c r="A344" s="198" t="str">
        <f>IF(AND(VALUE(RIGHT(O344,2))&lt;=controle_formulario!$E$16,VALUE(RIGHT(K344,2))&lt;=controle_formulario!$C$10,H344&lt;=Criterios!$C$31+controle_formulario!$I$16-1),"SIM","NÃO")</f>
        <v>NÃO</v>
      </c>
      <c r="B344" s="198">
        <f t="shared" si="153"/>
        <v>0</v>
      </c>
      <c r="C344" s="198" t="str">
        <f t="shared" si="154"/>
        <v>Formrol</v>
      </c>
      <c r="D344" s="179"/>
      <c r="E344" s="198" t="str">
        <f t="shared" si="155"/>
        <v>Planilha 1</v>
      </c>
      <c r="F344" s="198" t="str">
        <f t="shared" si="156"/>
        <v>Geral</v>
      </c>
      <c r="G344" s="198" t="s">
        <v>20</v>
      </c>
      <c r="H344" s="199">
        <f t="shared" si="166"/>
        <v>2028</v>
      </c>
      <c r="I344" s="200">
        <f t="shared" ca="1" si="166"/>
        <v>36.142742272880319</v>
      </c>
      <c r="J344" s="200" t="str">
        <f>IF(controle_formulario!$C$39=1,controle_formulario!$C$37,controle_formulario!$C$38)</f>
        <v>Epidemiologico Beneficiarios Saude Suplementar</v>
      </c>
      <c r="K344" s="197" t="s">
        <v>171</v>
      </c>
      <c r="L344" s="197">
        <f t="shared" si="165"/>
        <v>0</v>
      </c>
      <c r="M344" s="201">
        <f t="shared" ref="M344:N351" si="168">M343</f>
        <v>0</v>
      </c>
      <c r="N344" s="201">
        <f t="shared" si="168"/>
        <v>0</v>
      </c>
      <c r="O344" s="197" t="s">
        <v>177</v>
      </c>
      <c r="P344" s="197" t="str">
        <f t="shared" si="164"/>
        <v>Taxa de difusão em X anos: XX%</v>
      </c>
      <c r="Q344" s="202">
        <f>'Market Share'!H58</f>
        <v>0</v>
      </c>
      <c r="R344" s="203">
        <f t="shared" ca="1" si="167"/>
        <v>0</v>
      </c>
      <c r="S344" s="204">
        <f t="shared" ca="1" si="167"/>
        <v>-4138105.4151356164</v>
      </c>
    </row>
    <row r="345" spans="1:19" x14ac:dyDescent="0.3">
      <c r="A345" s="198" t="str">
        <f>IF(AND(VALUE(RIGHT(O345,2))&lt;=controle_formulario!$E$16,VALUE(RIGHT(K345,2))&lt;=controle_formulario!$C$10,H345&lt;=Criterios!$C$31+controle_formulario!$I$16-1),"SIM","NÃO")</f>
        <v>NÃO</v>
      </c>
      <c r="B345" s="198">
        <f t="shared" si="153"/>
        <v>0</v>
      </c>
      <c r="C345" s="198" t="str">
        <f t="shared" si="154"/>
        <v>Formrol</v>
      </c>
      <c r="D345" s="179"/>
      <c r="E345" s="198" t="str">
        <f t="shared" si="155"/>
        <v>Planilha 1</v>
      </c>
      <c r="F345" s="198" t="str">
        <f t="shared" si="156"/>
        <v>Geral</v>
      </c>
      <c r="G345" s="198" t="s">
        <v>21</v>
      </c>
      <c r="H345" s="199">
        <f t="shared" si="166"/>
        <v>2029</v>
      </c>
      <c r="I345" s="200">
        <f t="shared" ca="1" si="166"/>
        <v>36.250027878529522</v>
      </c>
      <c r="J345" s="200" t="str">
        <f>IF(controle_formulario!$C$39=1,controle_formulario!$C$37,controle_formulario!$C$38)</f>
        <v>Epidemiologico Beneficiarios Saude Suplementar</v>
      </c>
      <c r="K345" s="197" t="s">
        <v>171</v>
      </c>
      <c r="L345" s="197">
        <f t="shared" si="165"/>
        <v>0</v>
      </c>
      <c r="M345" s="201">
        <f t="shared" si="168"/>
        <v>0</v>
      </c>
      <c r="N345" s="201">
        <f t="shared" si="168"/>
        <v>0</v>
      </c>
      <c r="O345" s="197" t="s">
        <v>177</v>
      </c>
      <c r="P345" s="197" t="str">
        <f t="shared" si="164"/>
        <v>Taxa de difusão em X anos: XX%</v>
      </c>
      <c r="Q345" s="202">
        <f>'Market Share'!H59</f>
        <v>0</v>
      </c>
      <c r="R345" s="203">
        <f t="shared" ca="1" si="167"/>
        <v>0</v>
      </c>
      <c r="S345" s="204">
        <f t="shared" ca="1" si="167"/>
        <v>-4150388.9087994657</v>
      </c>
    </row>
    <row r="346" spans="1:19" x14ac:dyDescent="0.3">
      <c r="A346" s="198" t="str">
        <f>IF(AND(VALUE(RIGHT(O346,2))&lt;=controle_formulario!$E$16,VALUE(RIGHT(K346,2))&lt;=controle_formulario!$C$10,H346&lt;=Criterios!$C$31+controle_formulario!$I$16-1),"SIM","NÃO")</f>
        <v>NÃO</v>
      </c>
      <c r="B346" s="198">
        <f t="shared" si="153"/>
        <v>0</v>
      </c>
      <c r="C346" s="198" t="str">
        <f t="shared" si="154"/>
        <v>Formrol</v>
      </c>
      <c r="D346" s="179"/>
      <c r="E346" s="198" t="str">
        <f t="shared" si="155"/>
        <v>Planilha 1</v>
      </c>
      <c r="F346" s="198" t="str">
        <f t="shared" si="156"/>
        <v>Geral</v>
      </c>
      <c r="G346" s="198" t="s">
        <v>22</v>
      </c>
      <c r="H346" s="199">
        <f t="shared" si="166"/>
        <v>2030</v>
      </c>
      <c r="I346" s="200">
        <f t="shared" ca="1" si="166"/>
        <v>36.350592396534239</v>
      </c>
      <c r="J346" s="200" t="str">
        <f>IF(controle_formulario!$C$39=1,controle_formulario!$C$37,controle_formulario!$C$38)</f>
        <v>Epidemiologico Beneficiarios Saude Suplementar</v>
      </c>
      <c r="K346" s="197" t="s">
        <v>171</v>
      </c>
      <c r="L346" s="197">
        <f t="shared" si="165"/>
        <v>0</v>
      </c>
      <c r="M346" s="201">
        <f t="shared" si="168"/>
        <v>0</v>
      </c>
      <c r="N346" s="201">
        <f t="shared" si="168"/>
        <v>0</v>
      </c>
      <c r="O346" s="197" t="s">
        <v>177</v>
      </c>
      <c r="P346" s="197" t="str">
        <f t="shared" si="164"/>
        <v>Taxa de difusão em X anos: XX%</v>
      </c>
      <c r="Q346" s="202">
        <f>'Market Share'!H60</f>
        <v>0</v>
      </c>
      <c r="R346" s="203">
        <f t="shared" ca="1" si="167"/>
        <v>0</v>
      </c>
      <c r="S346" s="204">
        <f t="shared" ca="1" si="167"/>
        <v>-4161902.8822933384</v>
      </c>
    </row>
    <row r="347" spans="1:19" x14ac:dyDescent="0.3">
      <c r="A347" s="198" t="str">
        <f>IF(AND(VALUE(RIGHT(O347,2))&lt;=controle_formulario!$E$16,VALUE(RIGHT(K347,2))&lt;=controle_formulario!$C$10,H347&lt;=Criterios!$C$31+controle_formulario!$I$16-1),"SIM","NÃO")</f>
        <v>NÃO</v>
      </c>
      <c r="B347" s="198">
        <f t="shared" si="153"/>
        <v>0</v>
      </c>
      <c r="C347" s="198" t="str">
        <f t="shared" si="154"/>
        <v>Formrol</v>
      </c>
      <c r="D347" s="179"/>
      <c r="E347" s="198" t="str">
        <f t="shared" si="155"/>
        <v>Planilha 1</v>
      </c>
      <c r="F347" s="198" t="str">
        <f t="shared" si="156"/>
        <v>Geral</v>
      </c>
      <c r="G347" s="198" t="s">
        <v>23</v>
      </c>
      <c r="H347" s="199">
        <f t="shared" si="166"/>
        <v>2031</v>
      </c>
      <c r="I347" s="200">
        <f t="shared" si="166"/>
        <v>0</v>
      </c>
      <c r="J347" s="200" t="str">
        <f>IF(controle_formulario!$C$39=1,controle_formulario!$C$37,controle_formulario!$C$38)</f>
        <v>Epidemiologico Beneficiarios Saude Suplementar</v>
      </c>
      <c r="K347" s="197" t="s">
        <v>171</v>
      </c>
      <c r="L347" s="197">
        <f t="shared" si="165"/>
        <v>0</v>
      </c>
      <c r="M347" s="201">
        <f t="shared" si="168"/>
        <v>0</v>
      </c>
      <c r="N347" s="201">
        <f t="shared" si="168"/>
        <v>0</v>
      </c>
      <c r="O347" s="197" t="s">
        <v>177</v>
      </c>
      <c r="P347" s="197" t="str">
        <f t="shared" si="164"/>
        <v>Taxa de difusão em X anos: XX%</v>
      </c>
      <c r="Q347" s="202">
        <f>'Market Share'!H61</f>
        <v>0</v>
      </c>
      <c r="R347" s="203">
        <f t="shared" ca="1" si="167"/>
        <v>0</v>
      </c>
      <c r="S347" s="204">
        <f t="shared" ca="1" si="167"/>
        <v>0</v>
      </c>
    </row>
    <row r="348" spans="1:19" x14ac:dyDescent="0.3">
      <c r="A348" s="198" t="str">
        <f>IF(AND(VALUE(RIGHT(O348,2))&lt;=controle_formulario!$E$16,VALUE(RIGHT(K348,2))&lt;=controle_formulario!$C$10,H348&lt;=Criterios!$C$31+controle_formulario!$I$16-1),"SIM","NÃO")</f>
        <v>NÃO</v>
      </c>
      <c r="B348" s="198">
        <f t="shared" si="153"/>
        <v>0</v>
      </c>
      <c r="C348" s="198" t="str">
        <f t="shared" si="154"/>
        <v>Formrol</v>
      </c>
      <c r="D348" s="179"/>
      <c r="E348" s="198" t="str">
        <f t="shared" si="155"/>
        <v>Planilha 1</v>
      </c>
      <c r="F348" s="198" t="str">
        <f t="shared" si="156"/>
        <v>Geral</v>
      </c>
      <c r="G348" s="198" t="s">
        <v>24</v>
      </c>
      <c r="H348" s="199">
        <f t="shared" si="166"/>
        <v>2032</v>
      </c>
      <c r="I348" s="200">
        <f t="shared" si="166"/>
        <v>0</v>
      </c>
      <c r="J348" s="200" t="str">
        <f>IF(controle_formulario!$C$39=1,controle_formulario!$C$37,controle_formulario!$C$38)</f>
        <v>Epidemiologico Beneficiarios Saude Suplementar</v>
      </c>
      <c r="K348" s="197" t="s">
        <v>171</v>
      </c>
      <c r="L348" s="197">
        <f t="shared" si="165"/>
        <v>0</v>
      </c>
      <c r="M348" s="201">
        <f t="shared" si="168"/>
        <v>0</v>
      </c>
      <c r="N348" s="201">
        <f t="shared" si="168"/>
        <v>0</v>
      </c>
      <c r="O348" s="197" t="s">
        <v>177</v>
      </c>
      <c r="P348" s="197" t="str">
        <f t="shared" si="164"/>
        <v>Taxa de difusão em X anos: XX%</v>
      </c>
      <c r="Q348" s="202">
        <f>'Market Share'!H62</f>
        <v>0</v>
      </c>
      <c r="R348" s="203">
        <f t="shared" ca="1" si="167"/>
        <v>0</v>
      </c>
      <c r="S348" s="204">
        <f t="shared" ca="1" si="167"/>
        <v>0</v>
      </c>
    </row>
    <row r="349" spans="1:19" x14ac:dyDescent="0.3">
      <c r="A349" s="198" t="str">
        <f>IF(AND(VALUE(RIGHT(O349,2))&lt;=controle_formulario!$E$16,VALUE(RIGHT(K349,2))&lt;=controle_formulario!$C$10,H349&lt;=Criterios!$C$31+controle_formulario!$I$16-1),"SIM","NÃO")</f>
        <v>NÃO</v>
      </c>
      <c r="B349" s="198">
        <f t="shared" si="153"/>
        <v>0</v>
      </c>
      <c r="C349" s="198" t="str">
        <f t="shared" si="154"/>
        <v>Formrol</v>
      </c>
      <c r="D349" s="179"/>
      <c r="E349" s="198" t="str">
        <f t="shared" si="155"/>
        <v>Planilha 1</v>
      </c>
      <c r="F349" s="198" t="str">
        <f t="shared" si="156"/>
        <v>Geral</v>
      </c>
      <c r="G349" s="198" t="s">
        <v>25</v>
      </c>
      <c r="H349" s="199">
        <f t="shared" si="166"/>
        <v>2033</v>
      </c>
      <c r="I349" s="200">
        <f t="shared" si="166"/>
        <v>0</v>
      </c>
      <c r="J349" s="200" t="str">
        <f>IF(controle_formulario!$C$39=1,controle_formulario!$C$37,controle_formulario!$C$38)</f>
        <v>Epidemiologico Beneficiarios Saude Suplementar</v>
      </c>
      <c r="K349" s="197" t="s">
        <v>171</v>
      </c>
      <c r="L349" s="197">
        <f t="shared" si="165"/>
        <v>0</v>
      </c>
      <c r="M349" s="201">
        <f t="shared" si="168"/>
        <v>0</v>
      </c>
      <c r="N349" s="201">
        <f t="shared" si="168"/>
        <v>0</v>
      </c>
      <c r="O349" s="197" t="s">
        <v>177</v>
      </c>
      <c r="P349" s="197" t="str">
        <f t="shared" si="164"/>
        <v>Taxa de difusão em X anos: XX%</v>
      </c>
      <c r="Q349" s="202">
        <f>'Market Share'!H63</f>
        <v>0</v>
      </c>
      <c r="R349" s="203">
        <f t="shared" ca="1" si="167"/>
        <v>0</v>
      </c>
      <c r="S349" s="204">
        <f t="shared" ca="1" si="167"/>
        <v>0</v>
      </c>
    </row>
    <row r="350" spans="1:19" x14ac:dyDescent="0.3">
      <c r="A350" s="198" t="str">
        <f>IF(AND(VALUE(RIGHT(O350,2))&lt;=controle_formulario!$E$16,VALUE(RIGHT(K350,2))&lt;=controle_formulario!$C$10,H350&lt;=Criterios!$C$31+controle_formulario!$I$16-1),"SIM","NÃO")</f>
        <v>NÃO</v>
      </c>
      <c r="B350" s="198">
        <f t="shared" si="153"/>
        <v>0</v>
      </c>
      <c r="C350" s="198" t="str">
        <f t="shared" si="154"/>
        <v>Formrol</v>
      </c>
      <c r="D350" s="179"/>
      <c r="E350" s="198" t="str">
        <f t="shared" si="155"/>
        <v>Planilha 1</v>
      </c>
      <c r="F350" s="198" t="str">
        <f t="shared" si="156"/>
        <v>Geral</v>
      </c>
      <c r="G350" s="198" t="s">
        <v>26</v>
      </c>
      <c r="H350" s="199">
        <f t="shared" si="166"/>
        <v>2034</v>
      </c>
      <c r="I350" s="200">
        <f t="shared" si="166"/>
        <v>0</v>
      </c>
      <c r="J350" s="200" t="str">
        <f>IF(controle_formulario!$C$39=1,controle_formulario!$C$37,controle_formulario!$C$38)</f>
        <v>Epidemiologico Beneficiarios Saude Suplementar</v>
      </c>
      <c r="K350" s="197" t="s">
        <v>171</v>
      </c>
      <c r="L350" s="197">
        <f t="shared" si="165"/>
        <v>0</v>
      </c>
      <c r="M350" s="201">
        <f t="shared" si="168"/>
        <v>0</v>
      </c>
      <c r="N350" s="201">
        <f t="shared" si="168"/>
        <v>0</v>
      </c>
      <c r="O350" s="197" t="s">
        <v>177</v>
      </c>
      <c r="P350" s="197" t="str">
        <f t="shared" si="164"/>
        <v>Taxa de difusão em X anos: XX%</v>
      </c>
      <c r="Q350" s="202">
        <f>'Market Share'!H64</f>
        <v>0</v>
      </c>
      <c r="R350" s="203">
        <f t="shared" ca="1" si="167"/>
        <v>0</v>
      </c>
      <c r="S350" s="204">
        <f t="shared" ca="1" si="167"/>
        <v>0</v>
      </c>
    </row>
    <row r="351" spans="1:19" ht="15" thickBot="1" x14ac:dyDescent="0.35">
      <c r="A351" s="205" t="str">
        <f>IF(AND(VALUE(RIGHT(O351,2))&lt;=controle_formulario!$E$16,VALUE(RIGHT(K351,2))&lt;=controle_formulario!$C$10,H351&lt;=Criterios!$C$31+controle_formulario!$I$16-1),"SIM","NÃO")</f>
        <v>NÃO</v>
      </c>
      <c r="B351" s="205">
        <f t="shared" si="153"/>
        <v>0</v>
      </c>
      <c r="C351" s="205" t="str">
        <f t="shared" si="154"/>
        <v>Formrol</v>
      </c>
      <c r="D351" s="180"/>
      <c r="E351" s="205" t="str">
        <f t="shared" si="155"/>
        <v>Planilha 1</v>
      </c>
      <c r="F351" s="205" t="str">
        <f t="shared" si="156"/>
        <v>Geral</v>
      </c>
      <c r="G351" s="205" t="s">
        <v>27</v>
      </c>
      <c r="H351" s="206">
        <f t="shared" si="166"/>
        <v>2035</v>
      </c>
      <c r="I351" s="207">
        <f t="shared" si="166"/>
        <v>0</v>
      </c>
      <c r="J351" s="207" t="str">
        <f>IF(controle_formulario!$C$39=1,controle_formulario!$C$37,controle_formulario!$C$38)</f>
        <v>Epidemiologico Beneficiarios Saude Suplementar</v>
      </c>
      <c r="K351" s="214" t="s">
        <v>171</v>
      </c>
      <c r="L351" s="214">
        <f t="shared" si="165"/>
        <v>0</v>
      </c>
      <c r="M351" s="201">
        <f t="shared" si="168"/>
        <v>0</v>
      </c>
      <c r="N351" s="201">
        <f t="shared" si="168"/>
        <v>0</v>
      </c>
      <c r="O351" s="214" t="s">
        <v>177</v>
      </c>
      <c r="P351" s="214" t="str">
        <f t="shared" si="164"/>
        <v>Taxa de difusão em X anos: XX%</v>
      </c>
      <c r="Q351" s="215">
        <f>'Market Share'!H65</f>
        <v>0</v>
      </c>
      <c r="R351" s="216">
        <f t="shared" ca="1" si="167"/>
        <v>0</v>
      </c>
      <c r="S351" s="217">
        <f t="shared" ca="1" si="167"/>
        <v>0</v>
      </c>
    </row>
    <row r="352" spans="1:19" x14ac:dyDescent="0.3">
      <c r="A352" s="189" t="str">
        <f>IF(AND(VALUE(RIGHT(O352,2))&lt;=controle_formulario!$E$16,H352&lt;=Criterios!$C$31+controle_formulario!$I$16-1),"SIM","NÃO")</f>
        <v>NÃO</v>
      </c>
      <c r="B352" s="189">
        <f t="shared" si="153"/>
        <v>0</v>
      </c>
      <c r="C352" s="189" t="str">
        <f t="shared" si="154"/>
        <v>Formrol</v>
      </c>
      <c r="D352" s="177"/>
      <c r="E352" s="189" t="str">
        <f t="shared" si="155"/>
        <v>Planilha 1</v>
      </c>
      <c r="F352" s="189" t="str">
        <f t="shared" si="156"/>
        <v>Geral</v>
      </c>
      <c r="G352" s="189" t="s">
        <v>18</v>
      </c>
      <c r="H352" s="190">
        <f>H342</f>
        <v>2026</v>
      </c>
      <c r="I352" s="191">
        <f ca="1">I342</f>
        <v>35.902021176061034</v>
      </c>
      <c r="J352" s="191" t="str">
        <f>IF(controle_formulario!$C$39=1,controle_formulario!$C$37,controle_formulario!$C$38)</f>
        <v>Epidemiologico Beneficiarios Saude Suplementar</v>
      </c>
      <c r="K352" s="192" t="s">
        <v>157</v>
      </c>
      <c r="L352" s="192" t="str">
        <f t="shared" ref="L352:L361" si="169">trat.novo</f>
        <v>Pirtobrutinibe</v>
      </c>
      <c r="M352" s="193">
        <f>Resumo!$D$38</f>
        <v>470468.67999999976</v>
      </c>
      <c r="N352" s="193">
        <f>Resumo!$D$47</f>
        <v>0</v>
      </c>
      <c r="O352" s="192" t="s">
        <v>178</v>
      </c>
      <c r="P352" s="192" t="str">
        <f t="shared" ref="P352:P383" si="170">cen.alt7</f>
        <v>Taxa de difusão em X anos: XX%</v>
      </c>
      <c r="Q352" s="194">
        <f>'Market Share'!L56</f>
        <v>0</v>
      </c>
      <c r="R352" s="195">
        <f ca="1">Resumo!K56</f>
        <v>0</v>
      </c>
      <c r="S352" s="196">
        <f ca="1">Resumo!K72</f>
        <v>-4110544.4385289042</v>
      </c>
    </row>
    <row r="353" spans="1:19" x14ac:dyDescent="0.3">
      <c r="A353" s="198" t="str">
        <f>IF(AND(VALUE(RIGHT(O353,2))&lt;=controle_formulario!$E$16,H353&lt;=Criterios!$C$31+controle_formulario!$I$16-1),"SIM","NÃO")</f>
        <v>NÃO</v>
      </c>
      <c r="B353" s="198">
        <f t="shared" si="153"/>
        <v>0</v>
      </c>
      <c r="C353" s="198" t="str">
        <f t="shared" si="154"/>
        <v>Formrol</v>
      </c>
      <c r="D353" s="179"/>
      <c r="E353" s="198" t="str">
        <f t="shared" si="155"/>
        <v>Planilha 1</v>
      </c>
      <c r="F353" s="198" t="str">
        <f t="shared" si="156"/>
        <v>Geral</v>
      </c>
      <c r="G353" s="198" t="s">
        <v>19</v>
      </c>
      <c r="H353" s="199">
        <f t="shared" ref="H353:I361" si="171">H343</f>
        <v>2027</v>
      </c>
      <c r="I353" s="200">
        <f t="shared" ca="1" si="171"/>
        <v>36.027114594978322</v>
      </c>
      <c r="J353" s="200" t="str">
        <f>IF(controle_formulario!$C$39=1,controle_formulario!$C$37,controle_formulario!$C$38)</f>
        <v>Epidemiologico Beneficiarios Saude Suplementar</v>
      </c>
      <c r="K353" s="197" t="s">
        <v>157</v>
      </c>
      <c r="L353" s="197" t="str">
        <f t="shared" si="169"/>
        <v>Pirtobrutinibe</v>
      </c>
      <c r="M353" s="201">
        <f>M352</f>
        <v>470468.67999999976</v>
      </c>
      <c r="N353" s="201">
        <f>N352</f>
        <v>0</v>
      </c>
      <c r="O353" s="197" t="s">
        <v>178</v>
      </c>
      <c r="P353" s="197" t="str">
        <f t="shared" si="170"/>
        <v>Taxa de difusão em X anos: XX%</v>
      </c>
      <c r="Q353" s="202">
        <f>'Market Share'!L57</f>
        <v>0</v>
      </c>
      <c r="R353" s="203">
        <f ca="1">Resumo!K57</f>
        <v>0</v>
      </c>
      <c r="S353" s="204">
        <f ca="1">Resumo!K73</f>
        <v>-4124866.8092641174</v>
      </c>
    </row>
    <row r="354" spans="1:19" x14ac:dyDescent="0.3">
      <c r="A354" s="198" t="str">
        <f>IF(AND(VALUE(RIGHT(O354,2))&lt;=controle_formulario!$E$16,H354&lt;=Criterios!$C$31+controle_formulario!$I$16-1),"SIM","NÃO")</f>
        <v>NÃO</v>
      </c>
      <c r="B354" s="198">
        <f t="shared" si="153"/>
        <v>0</v>
      </c>
      <c r="C354" s="198" t="str">
        <f t="shared" si="154"/>
        <v>Formrol</v>
      </c>
      <c r="D354" s="179"/>
      <c r="E354" s="198" t="str">
        <f t="shared" si="155"/>
        <v>Planilha 1</v>
      </c>
      <c r="F354" s="198" t="str">
        <f t="shared" si="156"/>
        <v>Geral</v>
      </c>
      <c r="G354" s="198" t="s">
        <v>20</v>
      </c>
      <c r="H354" s="199">
        <f t="shared" si="171"/>
        <v>2028</v>
      </c>
      <c r="I354" s="200">
        <f t="shared" ca="1" si="171"/>
        <v>36.142742272880319</v>
      </c>
      <c r="J354" s="200" t="str">
        <f>IF(controle_formulario!$C$39=1,controle_formulario!$C$37,controle_formulario!$C$38)</f>
        <v>Epidemiologico Beneficiarios Saude Suplementar</v>
      </c>
      <c r="K354" s="197" t="s">
        <v>157</v>
      </c>
      <c r="L354" s="197" t="str">
        <f t="shared" si="169"/>
        <v>Pirtobrutinibe</v>
      </c>
      <c r="M354" s="201">
        <f t="shared" ref="M354:N361" si="172">M353</f>
        <v>470468.67999999976</v>
      </c>
      <c r="N354" s="201">
        <f t="shared" si="172"/>
        <v>0</v>
      </c>
      <c r="O354" s="197" t="s">
        <v>178</v>
      </c>
      <c r="P354" s="197" t="str">
        <f t="shared" si="170"/>
        <v>Taxa de difusão em X anos: XX%</v>
      </c>
      <c r="Q354" s="202">
        <f>'Market Share'!L58</f>
        <v>0</v>
      </c>
      <c r="R354" s="203">
        <f ca="1">Resumo!K58</f>
        <v>0</v>
      </c>
      <c r="S354" s="204">
        <f ca="1">Resumo!K74</f>
        <v>-4138105.4151356164</v>
      </c>
    </row>
    <row r="355" spans="1:19" x14ac:dyDescent="0.3">
      <c r="A355" s="198" t="str">
        <f>IF(AND(VALUE(RIGHT(O355,2))&lt;=controle_formulario!$E$16,H355&lt;=Criterios!$C$31+controle_formulario!$I$16-1),"SIM","NÃO")</f>
        <v>NÃO</v>
      </c>
      <c r="B355" s="198">
        <f t="shared" si="153"/>
        <v>0</v>
      </c>
      <c r="C355" s="198" t="str">
        <f t="shared" si="154"/>
        <v>Formrol</v>
      </c>
      <c r="D355" s="179"/>
      <c r="E355" s="198" t="str">
        <f t="shared" si="155"/>
        <v>Planilha 1</v>
      </c>
      <c r="F355" s="198" t="str">
        <f t="shared" si="156"/>
        <v>Geral</v>
      </c>
      <c r="G355" s="198" t="s">
        <v>21</v>
      </c>
      <c r="H355" s="199">
        <f t="shared" si="171"/>
        <v>2029</v>
      </c>
      <c r="I355" s="200">
        <f t="shared" ca="1" si="171"/>
        <v>36.250027878529522</v>
      </c>
      <c r="J355" s="200" t="str">
        <f>IF(controle_formulario!$C$39=1,controle_formulario!$C$37,controle_formulario!$C$38)</f>
        <v>Epidemiologico Beneficiarios Saude Suplementar</v>
      </c>
      <c r="K355" s="197" t="s">
        <v>157</v>
      </c>
      <c r="L355" s="197" t="str">
        <f t="shared" si="169"/>
        <v>Pirtobrutinibe</v>
      </c>
      <c r="M355" s="201">
        <f t="shared" si="172"/>
        <v>470468.67999999976</v>
      </c>
      <c r="N355" s="201">
        <f t="shared" si="172"/>
        <v>0</v>
      </c>
      <c r="O355" s="197" t="s">
        <v>178</v>
      </c>
      <c r="P355" s="197" t="str">
        <f t="shared" si="170"/>
        <v>Taxa de difusão em X anos: XX%</v>
      </c>
      <c r="Q355" s="202">
        <f>'Market Share'!L59</f>
        <v>0</v>
      </c>
      <c r="R355" s="203">
        <f ca="1">Resumo!K59</f>
        <v>0</v>
      </c>
      <c r="S355" s="204">
        <f ca="1">Resumo!K75</f>
        <v>-4150388.9087994657</v>
      </c>
    </row>
    <row r="356" spans="1:19" x14ac:dyDescent="0.3">
      <c r="A356" s="198" t="str">
        <f>IF(AND(VALUE(RIGHT(O356,2))&lt;=controle_formulario!$E$16,H356&lt;=Criterios!$C$31+controle_formulario!$I$16-1),"SIM","NÃO")</f>
        <v>NÃO</v>
      </c>
      <c r="B356" s="198">
        <f t="shared" si="153"/>
        <v>0</v>
      </c>
      <c r="C356" s="198" t="str">
        <f t="shared" si="154"/>
        <v>Formrol</v>
      </c>
      <c r="D356" s="179"/>
      <c r="E356" s="198" t="str">
        <f t="shared" si="155"/>
        <v>Planilha 1</v>
      </c>
      <c r="F356" s="198" t="str">
        <f t="shared" si="156"/>
        <v>Geral</v>
      </c>
      <c r="G356" s="198" t="s">
        <v>22</v>
      </c>
      <c r="H356" s="199">
        <f t="shared" si="171"/>
        <v>2030</v>
      </c>
      <c r="I356" s="200">
        <f t="shared" ca="1" si="171"/>
        <v>36.350592396534239</v>
      </c>
      <c r="J356" s="200" t="str">
        <f>IF(controle_formulario!$C$39=1,controle_formulario!$C$37,controle_formulario!$C$38)</f>
        <v>Epidemiologico Beneficiarios Saude Suplementar</v>
      </c>
      <c r="K356" s="197" t="s">
        <v>157</v>
      </c>
      <c r="L356" s="197" t="str">
        <f t="shared" si="169"/>
        <v>Pirtobrutinibe</v>
      </c>
      <c r="M356" s="201">
        <f t="shared" si="172"/>
        <v>470468.67999999976</v>
      </c>
      <c r="N356" s="201">
        <f t="shared" si="172"/>
        <v>0</v>
      </c>
      <c r="O356" s="197" t="s">
        <v>178</v>
      </c>
      <c r="P356" s="197" t="str">
        <f t="shared" si="170"/>
        <v>Taxa de difusão em X anos: XX%</v>
      </c>
      <c r="Q356" s="202">
        <f>'Market Share'!L60</f>
        <v>0</v>
      </c>
      <c r="R356" s="203">
        <f ca="1">Resumo!K60</f>
        <v>0</v>
      </c>
      <c r="S356" s="204">
        <f ca="1">Resumo!K76</f>
        <v>-4161902.8822933384</v>
      </c>
    </row>
    <row r="357" spans="1:19" x14ac:dyDescent="0.3">
      <c r="A357" s="198" t="str">
        <f>IF(AND(VALUE(RIGHT(O357,2))&lt;=controle_formulario!$E$16,H357&lt;=Criterios!$C$31+controle_formulario!$I$16-1),"SIM","NÃO")</f>
        <v>NÃO</v>
      </c>
      <c r="B357" s="198">
        <f t="shared" si="153"/>
        <v>0</v>
      </c>
      <c r="C357" s="198" t="str">
        <f t="shared" si="154"/>
        <v>Formrol</v>
      </c>
      <c r="D357" s="179"/>
      <c r="E357" s="198" t="str">
        <f t="shared" si="155"/>
        <v>Planilha 1</v>
      </c>
      <c r="F357" s="198" t="str">
        <f t="shared" si="156"/>
        <v>Geral</v>
      </c>
      <c r="G357" s="198" t="s">
        <v>23</v>
      </c>
      <c r="H357" s="199">
        <f t="shared" si="171"/>
        <v>2031</v>
      </c>
      <c r="I357" s="200">
        <f t="shared" si="171"/>
        <v>0</v>
      </c>
      <c r="J357" s="200" t="str">
        <f>IF(controle_formulario!$C$39=1,controle_formulario!$C$37,controle_formulario!$C$38)</f>
        <v>Epidemiologico Beneficiarios Saude Suplementar</v>
      </c>
      <c r="K357" s="197" t="s">
        <v>157</v>
      </c>
      <c r="L357" s="197" t="str">
        <f t="shared" si="169"/>
        <v>Pirtobrutinibe</v>
      </c>
      <c r="M357" s="201">
        <f t="shared" si="172"/>
        <v>470468.67999999976</v>
      </c>
      <c r="N357" s="201">
        <f t="shared" si="172"/>
        <v>0</v>
      </c>
      <c r="O357" s="197" t="s">
        <v>178</v>
      </c>
      <c r="P357" s="197" t="str">
        <f t="shared" si="170"/>
        <v>Taxa de difusão em X anos: XX%</v>
      </c>
      <c r="Q357" s="202">
        <f>'Market Share'!L61</f>
        <v>0</v>
      </c>
      <c r="R357" s="203">
        <f ca="1">Resumo!K61</f>
        <v>0</v>
      </c>
      <c r="S357" s="204">
        <f ca="1">Resumo!K77</f>
        <v>0</v>
      </c>
    </row>
    <row r="358" spans="1:19" x14ac:dyDescent="0.3">
      <c r="A358" s="198" t="str">
        <f>IF(AND(VALUE(RIGHT(O358,2))&lt;=controle_formulario!$E$16,H358&lt;=Criterios!$C$31+controle_formulario!$I$16-1),"SIM","NÃO")</f>
        <v>NÃO</v>
      </c>
      <c r="B358" s="198">
        <f t="shared" si="153"/>
        <v>0</v>
      </c>
      <c r="C358" s="198" t="str">
        <f t="shared" si="154"/>
        <v>Formrol</v>
      </c>
      <c r="D358" s="179"/>
      <c r="E358" s="198" t="str">
        <f t="shared" si="155"/>
        <v>Planilha 1</v>
      </c>
      <c r="F358" s="198" t="str">
        <f t="shared" si="156"/>
        <v>Geral</v>
      </c>
      <c r="G358" s="198" t="s">
        <v>24</v>
      </c>
      <c r="H358" s="199">
        <f t="shared" si="171"/>
        <v>2032</v>
      </c>
      <c r="I358" s="200">
        <f t="shared" si="171"/>
        <v>0</v>
      </c>
      <c r="J358" s="200" t="str">
        <f>IF(controle_formulario!$C$39=1,controle_formulario!$C$37,controle_formulario!$C$38)</f>
        <v>Epidemiologico Beneficiarios Saude Suplementar</v>
      </c>
      <c r="K358" s="197" t="s">
        <v>157</v>
      </c>
      <c r="L358" s="197" t="str">
        <f t="shared" si="169"/>
        <v>Pirtobrutinibe</v>
      </c>
      <c r="M358" s="201">
        <f t="shared" si="172"/>
        <v>470468.67999999976</v>
      </c>
      <c r="N358" s="201">
        <f t="shared" si="172"/>
        <v>0</v>
      </c>
      <c r="O358" s="197" t="s">
        <v>178</v>
      </c>
      <c r="P358" s="197" t="str">
        <f t="shared" si="170"/>
        <v>Taxa de difusão em X anos: XX%</v>
      </c>
      <c r="Q358" s="202">
        <f>'Market Share'!L62</f>
        <v>0</v>
      </c>
      <c r="R358" s="203">
        <f ca="1">Resumo!K62</f>
        <v>0</v>
      </c>
      <c r="S358" s="204">
        <f ca="1">Resumo!K78</f>
        <v>0</v>
      </c>
    </row>
    <row r="359" spans="1:19" x14ac:dyDescent="0.3">
      <c r="A359" s="198" t="str">
        <f>IF(AND(VALUE(RIGHT(O359,2))&lt;=controle_formulario!$E$16,H359&lt;=Criterios!$C$31+controle_formulario!$I$16-1),"SIM","NÃO")</f>
        <v>NÃO</v>
      </c>
      <c r="B359" s="198">
        <f t="shared" si="153"/>
        <v>0</v>
      </c>
      <c r="C359" s="198" t="str">
        <f t="shared" si="154"/>
        <v>Formrol</v>
      </c>
      <c r="D359" s="179"/>
      <c r="E359" s="198" t="str">
        <f t="shared" si="155"/>
        <v>Planilha 1</v>
      </c>
      <c r="F359" s="198" t="str">
        <f t="shared" si="156"/>
        <v>Geral</v>
      </c>
      <c r="G359" s="198" t="s">
        <v>25</v>
      </c>
      <c r="H359" s="199">
        <f t="shared" si="171"/>
        <v>2033</v>
      </c>
      <c r="I359" s="200">
        <f t="shared" si="171"/>
        <v>0</v>
      </c>
      <c r="J359" s="200" t="str">
        <f>IF(controle_formulario!$C$39=1,controle_formulario!$C$37,controle_formulario!$C$38)</f>
        <v>Epidemiologico Beneficiarios Saude Suplementar</v>
      </c>
      <c r="K359" s="197" t="s">
        <v>157</v>
      </c>
      <c r="L359" s="197" t="str">
        <f t="shared" si="169"/>
        <v>Pirtobrutinibe</v>
      </c>
      <c r="M359" s="201">
        <f t="shared" si="172"/>
        <v>470468.67999999976</v>
      </c>
      <c r="N359" s="201">
        <f t="shared" si="172"/>
        <v>0</v>
      </c>
      <c r="O359" s="197" t="s">
        <v>178</v>
      </c>
      <c r="P359" s="197" t="str">
        <f t="shared" si="170"/>
        <v>Taxa de difusão em X anos: XX%</v>
      </c>
      <c r="Q359" s="202">
        <f>'Market Share'!L63</f>
        <v>0</v>
      </c>
      <c r="R359" s="203">
        <f ca="1">Resumo!K63</f>
        <v>0</v>
      </c>
      <c r="S359" s="204">
        <f ca="1">Resumo!K79</f>
        <v>0</v>
      </c>
    </row>
    <row r="360" spans="1:19" x14ac:dyDescent="0.3">
      <c r="A360" s="198" t="str">
        <f>IF(AND(VALUE(RIGHT(O360,2))&lt;=controle_formulario!$E$16,H360&lt;=Criterios!$C$31+controle_formulario!$I$16-1),"SIM","NÃO")</f>
        <v>NÃO</v>
      </c>
      <c r="B360" s="198">
        <f t="shared" si="153"/>
        <v>0</v>
      </c>
      <c r="C360" s="198" t="str">
        <f t="shared" si="154"/>
        <v>Formrol</v>
      </c>
      <c r="D360" s="179"/>
      <c r="E360" s="198" t="str">
        <f t="shared" si="155"/>
        <v>Planilha 1</v>
      </c>
      <c r="F360" s="198" t="str">
        <f t="shared" si="156"/>
        <v>Geral</v>
      </c>
      <c r="G360" s="198" t="s">
        <v>26</v>
      </c>
      <c r="H360" s="199">
        <f t="shared" si="171"/>
        <v>2034</v>
      </c>
      <c r="I360" s="200">
        <f t="shared" si="171"/>
        <v>0</v>
      </c>
      <c r="J360" s="200" t="str">
        <f>IF(controle_formulario!$C$39=1,controle_formulario!$C$37,controle_formulario!$C$38)</f>
        <v>Epidemiologico Beneficiarios Saude Suplementar</v>
      </c>
      <c r="K360" s="197" t="s">
        <v>157</v>
      </c>
      <c r="L360" s="197" t="str">
        <f t="shared" si="169"/>
        <v>Pirtobrutinibe</v>
      </c>
      <c r="M360" s="201">
        <f t="shared" si="172"/>
        <v>470468.67999999976</v>
      </c>
      <c r="N360" s="201">
        <f t="shared" si="172"/>
        <v>0</v>
      </c>
      <c r="O360" s="197" t="s">
        <v>178</v>
      </c>
      <c r="P360" s="197" t="str">
        <f t="shared" si="170"/>
        <v>Taxa de difusão em X anos: XX%</v>
      </c>
      <c r="Q360" s="202">
        <f>'Market Share'!L64</f>
        <v>0</v>
      </c>
      <c r="R360" s="203">
        <f ca="1">Resumo!K64</f>
        <v>0</v>
      </c>
      <c r="S360" s="204">
        <f ca="1">Resumo!K80</f>
        <v>0</v>
      </c>
    </row>
    <row r="361" spans="1:19" ht="15" thickBot="1" x14ac:dyDescent="0.35">
      <c r="A361" s="205" t="str">
        <f>IF(AND(VALUE(RIGHT(O361,2))&lt;=controle_formulario!$E$16,H361&lt;=Criterios!$C$31+controle_formulario!$I$16-1),"SIM","NÃO")</f>
        <v>NÃO</v>
      </c>
      <c r="B361" s="205">
        <f t="shared" si="153"/>
        <v>0</v>
      </c>
      <c r="C361" s="205" t="str">
        <f t="shared" si="154"/>
        <v>Formrol</v>
      </c>
      <c r="D361" s="180"/>
      <c r="E361" s="205" t="str">
        <f t="shared" si="155"/>
        <v>Planilha 1</v>
      </c>
      <c r="F361" s="205" t="str">
        <f t="shared" si="156"/>
        <v>Geral</v>
      </c>
      <c r="G361" s="205" t="s">
        <v>27</v>
      </c>
      <c r="H361" s="206">
        <f t="shared" si="171"/>
        <v>2035</v>
      </c>
      <c r="I361" s="207">
        <f t="shared" si="171"/>
        <v>0</v>
      </c>
      <c r="J361" s="207" t="str">
        <f>IF(controle_formulario!$C$39=1,controle_formulario!$C$37,controle_formulario!$C$38)</f>
        <v>Epidemiologico Beneficiarios Saude Suplementar</v>
      </c>
      <c r="K361" s="208" t="s">
        <v>157</v>
      </c>
      <c r="L361" s="208" t="str">
        <f t="shared" si="169"/>
        <v>Pirtobrutinibe</v>
      </c>
      <c r="M361" s="201">
        <f t="shared" si="172"/>
        <v>470468.67999999976</v>
      </c>
      <c r="N361" s="201">
        <f t="shared" si="172"/>
        <v>0</v>
      </c>
      <c r="O361" s="214" t="s">
        <v>178</v>
      </c>
      <c r="P361" s="214" t="str">
        <f t="shared" si="170"/>
        <v>Taxa de difusão em X anos: XX%</v>
      </c>
      <c r="Q361" s="215">
        <f>'Market Share'!L65</f>
        <v>0</v>
      </c>
      <c r="R361" s="216">
        <f ca="1">Resumo!K65</f>
        <v>0</v>
      </c>
      <c r="S361" s="217">
        <f ca="1">Resumo!K81</f>
        <v>0</v>
      </c>
    </row>
    <row r="362" spans="1:19" x14ac:dyDescent="0.3">
      <c r="A362" s="189" t="str">
        <f>IF(AND(VALUE(RIGHT(O362,2))&lt;=controle_formulario!$E$16,VALUE(RIGHT(K362,2))&lt;=controle_formulario!$C$10,H362&lt;=Criterios!$C$31+controle_formulario!$I$16-1),"SIM","NÃO")</f>
        <v>NÃO</v>
      </c>
      <c r="B362" s="189">
        <f t="shared" si="153"/>
        <v>0</v>
      </c>
      <c r="C362" s="189" t="str">
        <f t="shared" si="154"/>
        <v>Formrol</v>
      </c>
      <c r="D362" s="177"/>
      <c r="E362" s="189" t="str">
        <f t="shared" si="155"/>
        <v>Planilha 1</v>
      </c>
      <c r="F362" s="189" t="str">
        <f t="shared" si="156"/>
        <v>Geral</v>
      </c>
      <c r="G362" s="189" t="s">
        <v>18</v>
      </c>
      <c r="H362" s="190">
        <f>H352</f>
        <v>2026</v>
      </c>
      <c r="I362" s="191">
        <f ca="1">I352</f>
        <v>35.902021176061034</v>
      </c>
      <c r="J362" s="191" t="str">
        <f>IF(controle_formulario!$C$39=1,controle_formulario!$C$37,controle_formulario!$C$38)</f>
        <v>Epidemiologico Beneficiarios Saude Suplementar</v>
      </c>
      <c r="K362" s="192" t="s">
        <v>168</v>
      </c>
      <c r="L362" s="192" t="str">
        <f t="shared" ref="L362:L371" si="173">trat.a</f>
        <v xml:space="preserve"> Conjunto de Tratamentos-Padrão</v>
      </c>
      <c r="M362" s="193" t="e">
        <f>Resumo!$D$39</f>
        <v>#REF!</v>
      </c>
      <c r="N362" s="193">
        <f>Resumo!$D$48</f>
        <v>0</v>
      </c>
      <c r="O362" s="192" t="s">
        <v>178</v>
      </c>
      <c r="P362" s="192" t="str">
        <f t="shared" si="170"/>
        <v>Taxa de difusão em X anos: XX%</v>
      </c>
      <c r="Q362" s="194">
        <f>'Market Share'!M56</f>
        <v>0</v>
      </c>
      <c r="R362" s="195">
        <f ca="1">R352</f>
        <v>0</v>
      </c>
      <c r="S362" s="196">
        <f ca="1">S352</f>
        <v>-4110544.4385289042</v>
      </c>
    </row>
    <row r="363" spans="1:19" x14ac:dyDescent="0.3">
      <c r="A363" s="198" t="str">
        <f>IF(AND(VALUE(RIGHT(O363,2))&lt;=controle_formulario!$E$16,VALUE(RIGHT(K363,2))&lt;=controle_formulario!$C$10,H363&lt;=Criterios!$C$31+controle_formulario!$I$16-1),"SIM","NÃO")</f>
        <v>NÃO</v>
      </c>
      <c r="B363" s="198">
        <f t="shared" si="153"/>
        <v>0</v>
      </c>
      <c r="C363" s="198" t="str">
        <f t="shared" si="154"/>
        <v>Formrol</v>
      </c>
      <c r="D363" s="179"/>
      <c r="E363" s="198" t="str">
        <f t="shared" si="155"/>
        <v>Planilha 1</v>
      </c>
      <c r="F363" s="198" t="str">
        <f t="shared" si="156"/>
        <v>Geral</v>
      </c>
      <c r="G363" s="198" t="s">
        <v>19</v>
      </c>
      <c r="H363" s="199">
        <f t="shared" ref="H363:I371" si="174">H353</f>
        <v>2027</v>
      </c>
      <c r="I363" s="200">
        <f t="shared" ca="1" si="174"/>
        <v>36.027114594978322</v>
      </c>
      <c r="J363" s="200" t="str">
        <f>IF(controle_formulario!$C$39=1,controle_formulario!$C$37,controle_formulario!$C$38)</f>
        <v>Epidemiologico Beneficiarios Saude Suplementar</v>
      </c>
      <c r="K363" s="197" t="s">
        <v>168</v>
      </c>
      <c r="L363" s="197" t="str">
        <f t="shared" si="173"/>
        <v xml:space="preserve"> Conjunto de Tratamentos-Padrão</v>
      </c>
      <c r="M363" s="201" t="e">
        <f>M362</f>
        <v>#REF!</v>
      </c>
      <c r="N363" s="201">
        <f>N362</f>
        <v>0</v>
      </c>
      <c r="O363" s="197" t="s">
        <v>178</v>
      </c>
      <c r="P363" s="197" t="str">
        <f t="shared" si="170"/>
        <v>Taxa de difusão em X anos: XX%</v>
      </c>
      <c r="Q363" s="202">
        <f>'Market Share'!M57</f>
        <v>0</v>
      </c>
      <c r="R363" s="203">
        <f t="shared" ref="R363:S371" ca="1" si="175">R353</f>
        <v>0</v>
      </c>
      <c r="S363" s="204">
        <f t="shared" ca="1" si="175"/>
        <v>-4124866.8092641174</v>
      </c>
    </row>
    <row r="364" spans="1:19" x14ac:dyDescent="0.3">
      <c r="A364" s="198" t="str">
        <f>IF(AND(VALUE(RIGHT(O364,2))&lt;=controle_formulario!$E$16,VALUE(RIGHT(K364,2))&lt;=controle_formulario!$C$10,H364&lt;=Criterios!$C$31+controle_formulario!$I$16-1),"SIM","NÃO")</f>
        <v>NÃO</v>
      </c>
      <c r="B364" s="198">
        <f t="shared" si="153"/>
        <v>0</v>
      </c>
      <c r="C364" s="198" t="str">
        <f t="shared" si="154"/>
        <v>Formrol</v>
      </c>
      <c r="D364" s="179"/>
      <c r="E364" s="198" t="str">
        <f t="shared" si="155"/>
        <v>Planilha 1</v>
      </c>
      <c r="F364" s="198" t="str">
        <f t="shared" si="156"/>
        <v>Geral</v>
      </c>
      <c r="G364" s="198" t="s">
        <v>20</v>
      </c>
      <c r="H364" s="199">
        <f t="shared" si="174"/>
        <v>2028</v>
      </c>
      <c r="I364" s="200">
        <f t="shared" ca="1" si="174"/>
        <v>36.142742272880319</v>
      </c>
      <c r="J364" s="200" t="str">
        <f>IF(controle_formulario!$C$39=1,controle_formulario!$C$37,controle_formulario!$C$38)</f>
        <v>Epidemiologico Beneficiarios Saude Suplementar</v>
      </c>
      <c r="K364" s="197" t="s">
        <v>168</v>
      </c>
      <c r="L364" s="197" t="str">
        <f t="shared" si="173"/>
        <v xml:space="preserve"> Conjunto de Tratamentos-Padrão</v>
      </c>
      <c r="M364" s="201" t="e">
        <f t="shared" ref="M364:N371" si="176">M363</f>
        <v>#REF!</v>
      </c>
      <c r="N364" s="201">
        <f t="shared" si="176"/>
        <v>0</v>
      </c>
      <c r="O364" s="197" t="s">
        <v>178</v>
      </c>
      <c r="P364" s="197" t="str">
        <f t="shared" si="170"/>
        <v>Taxa de difusão em X anos: XX%</v>
      </c>
      <c r="Q364" s="202">
        <f>'Market Share'!M58</f>
        <v>0</v>
      </c>
      <c r="R364" s="203">
        <f t="shared" ca="1" si="175"/>
        <v>0</v>
      </c>
      <c r="S364" s="204">
        <f t="shared" ca="1" si="175"/>
        <v>-4138105.4151356164</v>
      </c>
    </row>
    <row r="365" spans="1:19" x14ac:dyDescent="0.3">
      <c r="A365" s="198" t="str">
        <f>IF(AND(VALUE(RIGHT(O365,2))&lt;=controle_formulario!$E$16,VALUE(RIGHT(K365,2))&lt;=controle_formulario!$C$10,H365&lt;=Criterios!$C$31+controle_formulario!$I$16-1),"SIM","NÃO")</f>
        <v>NÃO</v>
      </c>
      <c r="B365" s="198">
        <f t="shared" si="153"/>
        <v>0</v>
      </c>
      <c r="C365" s="198" t="str">
        <f t="shared" si="154"/>
        <v>Formrol</v>
      </c>
      <c r="D365" s="179"/>
      <c r="E365" s="198" t="str">
        <f t="shared" si="155"/>
        <v>Planilha 1</v>
      </c>
      <c r="F365" s="198" t="str">
        <f t="shared" si="156"/>
        <v>Geral</v>
      </c>
      <c r="G365" s="198" t="s">
        <v>21</v>
      </c>
      <c r="H365" s="199">
        <f t="shared" si="174"/>
        <v>2029</v>
      </c>
      <c r="I365" s="200">
        <f t="shared" ca="1" si="174"/>
        <v>36.250027878529522</v>
      </c>
      <c r="J365" s="200" t="str">
        <f>IF(controle_formulario!$C$39=1,controle_formulario!$C$37,controle_formulario!$C$38)</f>
        <v>Epidemiologico Beneficiarios Saude Suplementar</v>
      </c>
      <c r="K365" s="197" t="s">
        <v>168</v>
      </c>
      <c r="L365" s="197" t="str">
        <f t="shared" si="173"/>
        <v xml:space="preserve"> Conjunto de Tratamentos-Padrão</v>
      </c>
      <c r="M365" s="201" t="e">
        <f t="shared" si="176"/>
        <v>#REF!</v>
      </c>
      <c r="N365" s="201">
        <f t="shared" si="176"/>
        <v>0</v>
      </c>
      <c r="O365" s="197" t="s">
        <v>178</v>
      </c>
      <c r="P365" s="197" t="str">
        <f t="shared" si="170"/>
        <v>Taxa de difusão em X anos: XX%</v>
      </c>
      <c r="Q365" s="202">
        <f>'Market Share'!M59</f>
        <v>0</v>
      </c>
      <c r="R365" s="203">
        <f t="shared" ca="1" si="175"/>
        <v>0</v>
      </c>
      <c r="S365" s="204">
        <f t="shared" ca="1" si="175"/>
        <v>-4150388.9087994657</v>
      </c>
    </row>
    <row r="366" spans="1:19" x14ac:dyDescent="0.3">
      <c r="A366" s="198" t="str">
        <f>IF(AND(VALUE(RIGHT(O366,2))&lt;=controle_formulario!$E$16,VALUE(RIGHT(K366,2))&lt;=controle_formulario!$C$10,H366&lt;=Criterios!$C$31+controle_formulario!$I$16-1),"SIM","NÃO")</f>
        <v>NÃO</v>
      </c>
      <c r="B366" s="198">
        <f t="shared" si="153"/>
        <v>0</v>
      </c>
      <c r="C366" s="198" t="str">
        <f t="shared" si="154"/>
        <v>Formrol</v>
      </c>
      <c r="D366" s="179"/>
      <c r="E366" s="198" t="str">
        <f t="shared" si="155"/>
        <v>Planilha 1</v>
      </c>
      <c r="F366" s="198" t="str">
        <f t="shared" si="156"/>
        <v>Geral</v>
      </c>
      <c r="G366" s="198" t="s">
        <v>22</v>
      </c>
      <c r="H366" s="199">
        <f t="shared" si="174"/>
        <v>2030</v>
      </c>
      <c r="I366" s="200">
        <f t="shared" ca="1" si="174"/>
        <v>36.350592396534239</v>
      </c>
      <c r="J366" s="200" t="str">
        <f>IF(controle_formulario!$C$39=1,controle_formulario!$C$37,controle_formulario!$C$38)</f>
        <v>Epidemiologico Beneficiarios Saude Suplementar</v>
      </c>
      <c r="K366" s="197" t="s">
        <v>168</v>
      </c>
      <c r="L366" s="197" t="str">
        <f t="shared" si="173"/>
        <v xml:space="preserve"> Conjunto de Tratamentos-Padrão</v>
      </c>
      <c r="M366" s="201" t="e">
        <f t="shared" si="176"/>
        <v>#REF!</v>
      </c>
      <c r="N366" s="201">
        <f t="shared" si="176"/>
        <v>0</v>
      </c>
      <c r="O366" s="197" t="s">
        <v>178</v>
      </c>
      <c r="P366" s="197" t="str">
        <f t="shared" si="170"/>
        <v>Taxa de difusão em X anos: XX%</v>
      </c>
      <c r="Q366" s="202">
        <f>'Market Share'!M60</f>
        <v>0</v>
      </c>
      <c r="R366" s="203">
        <f t="shared" ca="1" si="175"/>
        <v>0</v>
      </c>
      <c r="S366" s="204">
        <f t="shared" ca="1" si="175"/>
        <v>-4161902.8822933384</v>
      </c>
    </row>
    <row r="367" spans="1:19" x14ac:dyDescent="0.3">
      <c r="A367" s="198" t="str">
        <f>IF(AND(VALUE(RIGHT(O367,2))&lt;=controle_formulario!$E$16,VALUE(RIGHT(K367,2))&lt;=controle_formulario!$C$10,H367&lt;=Criterios!$C$31+controle_formulario!$I$16-1),"SIM","NÃO")</f>
        <v>NÃO</v>
      </c>
      <c r="B367" s="198">
        <f t="shared" si="153"/>
        <v>0</v>
      </c>
      <c r="C367" s="198" t="str">
        <f t="shared" si="154"/>
        <v>Formrol</v>
      </c>
      <c r="D367" s="179"/>
      <c r="E367" s="198" t="str">
        <f t="shared" si="155"/>
        <v>Planilha 1</v>
      </c>
      <c r="F367" s="198" t="str">
        <f t="shared" si="156"/>
        <v>Geral</v>
      </c>
      <c r="G367" s="198" t="s">
        <v>23</v>
      </c>
      <c r="H367" s="199">
        <f t="shared" si="174"/>
        <v>2031</v>
      </c>
      <c r="I367" s="200">
        <f t="shared" si="174"/>
        <v>0</v>
      </c>
      <c r="J367" s="200" t="str">
        <f>IF(controle_formulario!$C$39=1,controle_formulario!$C$37,controle_formulario!$C$38)</f>
        <v>Epidemiologico Beneficiarios Saude Suplementar</v>
      </c>
      <c r="K367" s="197" t="s">
        <v>168</v>
      </c>
      <c r="L367" s="197" t="str">
        <f t="shared" si="173"/>
        <v xml:space="preserve"> Conjunto de Tratamentos-Padrão</v>
      </c>
      <c r="M367" s="201" t="e">
        <f t="shared" si="176"/>
        <v>#REF!</v>
      </c>
      <c r="N367" s="201">
        <f t="shared" si="176"/>
        <v>0</v>
      </c>
      <c r="O367" s="197" t="s">
        <v>178</v>
      </c>
      <c r="P367" s="197" t="str">
        <f t="shared" si="170"/>
        <v>Taxa de difusão em X anos: XX%</v>
      </c>
      <c r="Q367" s="202">
        <f>'Market Share'!M61</f>
        <v>0</v>
      </c>
      <c r="R367" s="203">
        <f t="shared" ca="1" si="175"/>
        <v>0</v>
      </c>
      <c r="S367" s="204">
        <f t="shared" ca="1" si="175"/>
        <v>0</v>
      </c>
    </row>
    <row r="368" spans="1:19" x14ac:dyDescent="0.3">
      <c r="A368" s="198" t="str">
        <f>IF(AND(VALUE(RIGHT(O368,2))&lt;=controle_formulario!$E$16,VALUE(RIGHT(K368,2))&lt;=controle_formulario!$C$10,H368&lt;=Criterios!$C$31+controle_formulario!$I$16-1),"SIM","NÃO")</f>
        <v>NÃO</v>
      </c>
      <c r="B368" s="198">
        <f t="shared" si="153"/>
        <v>0</v>
      </c>
      <c r="C368" s="198" t="str">
        <f t="shared" si="154"/>
        <v>Formrol</v>
      </c>
      <c r="D368" s="179"/>
      <c r="E368" s="198" t="str">
        <f t="shared" si="155"/>
        <v>Planilha 1</v>
      </c>
      <c r="F368" s="198" t="str">
        <f t="shared" si="156"/>
        <v>Geral</v>
      </c>
      <c r="G368" s="198" t="s">
        <v>24</v>
      </c>
      <c r="H368" s="199">
        <f t="shared" si="174"/>
        <v>2032</v>
      </c>
      <c r="I368" s="200">
        <f t="shared" si="174"/>
        <v>0</v>
      </c>
      <c r="J368" s="200" t="str">
        <f>IF(controle_formulario!$C$39=1,controle_formulario!$C$37,controle_formulario!$C$38)</f>
        <v>Epidemiologico Beneficiarios Saude Suplementar</v>
      </c>
      <c r="K368" s="197" t="s">
        <v>168</v>
      </c>
      <c r="L368" s="197" t="str">
        <f t="shared" si="173"/>
        <v xml:space="preserve"> Conjunto de Tratamentos-Padrão</v>
      </c>
      <c r="M368" s="201" t="e">
        <f t="shared" si="176"/>
        <v>#REF!</v>
      </c>
      <c r="N368" s="201">
        <f t="shared" si="176"/>
        <v>0</v>
      </c>
      <c r="O368" s="197" t="s">
        <v>178</v>
      </c>
      <c r="P368" s="197" t="str">
        <f t="shared" si="170"/>
        <v>Taxa de difusão em X anos: XX%</v>
      </c>
      <c r="Q368" s="202">
        <f>'Market Share'!M62</f>
        <v>0</v>
      </c>
      <c r="R368" s="203">
        <f t="shared" ca="1" si="175"/>
        <v>0</v>
      </c>
      <c r="S368" s="204">
        <f t="shared" ca="1" si="175"/>
        <v>0</v>
      </c>
    </row>
    <row r="369" spans="1:19" x14ac:dyDescent="0.3">
      <c r="A369" s="198" t="str">
        <f>IF(AND(VALUE(RIGHT(O369,2))&lt;=controle_formulario!$E$16,VALUE(RIGHT(K369,2))&lt;=controle_formulario!$C$10,H369&lt;=Criterios!$C$31+controle_formulario!$I$16-1),"SIM","NÃO")</f>
        <v>NÃO</v>
      </c>
      <c r="B369" s="198">
        <f t="shared" si="153"/>
        <v>0</v>
      </c>
      <c r="C369" s="198" t="str">
        <f t="shared" si="154"/>
        <v>Formrol</v>
      </c>
      <c r="D369" s="179"/>
      <c r="E369" s="198" t="str">
        <f t="shared" si="155"/>
        <v>Planilha 1</v>
      </c>
      <c r="F369" s="198" t="str">
        <f t="shared" si="156"/>
        <v>Geral</v>
      </c>
      <c r="G369" s="198" t="s">
        <v>25</v>
      </c>
      <c r="H369" s="199">
        <f t="shared" si="174"/>
        <v>2033</v>
      </c>
      <c r="I369" s="200">
        <f t="shared" si="174"/>
        <v>0</v>
      </c>
      <c r="J369" s="200" t="str">
        <f>IF(controle_formulario!$C$39=1,controle_formulario!$C$37,controle_formulario!$C$38)</f>
        <v>Epidemiologico Beneficiarios Saude Suplementar</v>
      </c>
      <c r="K369" s="197" t="s">
        <v>168</v>
      </c>
      <c r="L369" s="197" t="str">
        <f t="shared" si="173"/>
        <v xml:space="preserve"> Conjunto de Tratamentos-Padrão</v>
      </c>
      <c r="M369" s="201" t="e">
        <f t="shared" si="176"/>
        <v>#REF!</v>
      </c>
      <c r="N369" s="201">
        <f t="shared" si="176"/>
        <v>0</v>
      </c>
      <c r="O369" s="197" t="s">
        <v>178</v>
      </c>
      <c r="P369" s="197" t="str">
        <f t="shared" si="170"/>
        <v>Taxa de difusão em X anos: XX%</v>
      </c>
      <c r="Q369" s="202">
        <f>'Market Share'!M63</f>
        <v>0</v>
      </c>
      <c r="R369" s="203">
        <f t="shared" ca="1" si="175"/>
        <v>0</v>
      </c>
      <c r="S369" s="204">
        <f t="shared" ca="1" si="175"/>
        <v>0</v>
      </c>
    </row>
    <row r="370" spans="1:19" x14ac:dyDescent="0.3">
      <c r="A370" s="198" t="str">
        <f>IF(AND(VALUE(RIGHT(O370,2))&lt;=controle_formulario!$E$16,VALUE(RIGHT(K370,2))&lt;=controle_formulario!$C$10,H370&lt;=Criterios!$C$31+controle_formulario!$I$16-1),"SIM","NÃO")</f>
        <v>NÃO</v>
      </c>
      <c r="B370" s="198">
        <f t="shared" si="153"/>
        <v>0</v>
      </c>
      <c r="C370" s="198" t="str">
        <f t="shared" si="154"/>
        <v>Formrol</v>
      </c>
      <c r="D370" s="179"/>
      <c r="E370" s="198" t="str">
        <f t="shared" si="155"/>
        <v>Planilha 1</v>
      </c>
      <c r="F370" s="198" t="str">
        <f t="shared" si="156"/>
        <v>Geral</v>
      </c>
      <c r="G370" s="198" t="s">
        <v>26</v>
      </c>
      <c r="H370" s="199">
        <f t="shared" si="174"/>
        <v>2034</v>
      </c>
      <c r="I370" s="200">
        <f t="shared" si="174"/>
        <v>0</v>
      </c>
      <c r="J370" s="200" t="str">
        <f>IF(controle_formulario!$C$39=1,controle_formulario!$C$37,controle_formulario!$C$38)</f>
        <v>Epidemiologico Beneficiarios Saude Suplementar</v>
      </c>
      <c r="K370" s="197" t="s">
        <v>168</v>
      </c>
      <c r="L370" s="197" t="str">
        <f t="shared" si="173"/>
        <v xml:space="preserve"> Conjunto de Tratamentos-Padrão</v>
      </c>
      <c r="M370" s="201" t="e">
        <f t="shared" si="176"/>
        <v>#REF!</v>
      </c>
      <c r="N370" s="201">
        <f t="shared" si="176"/>
        <v>0</v>
      </c>
      <c r="O370" s="197" t="s">
        <v>178</v>
      </c>
      <c r="P370" s="197" t="str">
        <f t="shared" si="170"/>
        <v>Taxa de difusão em X anos: XX%</v>
      </c>
      <c r="Q370" s="202">
        <f>'Market Share'!M64</f>
        <v>0</v>
      </c>
      <c r="R370" s="203">
        <f t="shared" ca="1" si="175"/>
        <v>0</v>
      </c>
      <c r="S370" s="204">
        <f t="shared" ca="1" si="175"/>
        <v>0</v>
      </c>
    </row>
    <row r="371" spans="1:19" ht="15" thickBot="1" x14ac:dyDescent="0.35">
      <c r="A371" s="205" t="str">
        <f>IF(AND(VALUE(RIGHT(O371,2))&lt;=controle_formulario!$E$16,VALUE(RIGHT(K371,2))&lt;=controle_formulario!$C$10,H371&lt;=Criterios!$C$31+controle_formulario!$I$16-1),"SIM","NÃO")</f>
        <v>NÃO</v>
      </c>
      <c r="B371" s="205">
        <f t="shared" si="153"/>
        <v>0</v>
      </c>
      <c r="C371" s="205" t="str">
        <f t="shared" si="154"/>
        <v>Formrol</v>
      </c>
      <c r="D371" s="180"/>
      <c r="E371" s="205" t="str">
        <f t="shared" si="155"/>
        <v>Planilha 1</v>
      </c>
      <c r="F371" s="205" t="str">
        <f t="shared" si="156"/>
        <v>Geral</v>
      </c>
      <c r="G371" s="205" t="s">
        <v>27</v>
      </c>
      <c r="H371" s="212">
        <f t="shared" si="174"/>
        <v>2035</v>
      </c>
      <c r="I371" s="213">
        <f t="shared" si="174"/>
        <v>0</v>
      </c>
      <c r="J371" s="207" t="str">
        <f>IF(controle_formulario!$C$39=1,controle_formulario!$C$37,controle_formulario!$C$38)</f>
        <v>Epidemiologico Beneficiarios Saude Suplementar</v>
      </c>
      <c r="K371" s="208" t="s">
        <v>168</v>
      </c>
      <c r="L371" s="208" t="str">
        <f t="shared" si="173"/>
        <v xml:space="preserve"> Conjunto de Tratamentos-Padrão</v>
      </c>
      <c r="M371" s="201" t="e">
        <f t="shared" si="176"/>
        <v>#REF!</v>
      </c>
      <c r="N371" s="201">
        <f t="shared" si="176"/>
        <v>0</v>
      </c>
      <c r="O371" s="214" t="s">
        <v>178</v>
      </c>
      <c r="P371" s="214" t="str">
        <f t="shared" si="170"/>
        <v>Taxa de difusão em X anos: XX%</v>
      </c>
      <c r="Q371" s="215">
        <f>'Market Share'!M65</f>
        <v>0</v>
      </c>
      <c r="R371" s="216">
        <f t="shared" ca="1" si="175"/>
        <v>0</v>
      </c>
      <c r="S371" s="217">
        <f t="shared" ca="1" si="175"/>
        <v>0</v>
      </c>
    </row>
    <row r="372" spans="1:19" x14ac:dyDescent="0.3">
      <c r="A372" s="189" t="str">
        <f>IF(AND(VALUE(RIGHT(O372,2))&lt;=controle_formulario!$E$16,VALUE(RIGHT(K372,2))&lt;=controle_formulario!$C$10,H372&lt;=Criterios!$C$31+controle_formulario!$I$16-1),"SIM","NÃO")</f>
        <v>NÃO</v>
      </c>
      <c r="B372" s="189">
        <f t="shared" si="153"/>
        <v>0</v>
      </c>
      <c r="C372" s="189" t="str">
        <f t="shared" si="154"/>
        <v>Formrol</v>
      </c>
      <c r="D372" s="177"/>
      <c r="E372" s="189" t="str">
        <f t="shared" si="155"/>
        <v>Planilha 1</v>
      </c>
      <c r="F372" s="189" t="str">
        <f t="shared" si="156"/>
        <v>Geral</v>
      </c>
      <c r="G372" s="189" t="s">
        <v>18</v>
      </c>
      <c r="H372" s="190">
        <f>H362</f>
        <v>2026</v>
      </c>
      <c r="I372" s="191">
        <f ca="1">I362</f>
        <v>35.902021176061034</v>
      </c>
      <c r="J372" s="191" t="str">
        <f>IF(controle_formulario!$C$39=1,controle_formulario!$C$37,controle_formulario!$C$38)</f>
        <v>Epidemiologico Beneficiarios Saude Suplementar</v>
      </c>
      <c r="K372" s="192" t="s">
        <v>169</v>
      </c>
      <c r="L372" s="192">
        <f t="shared" ref="L372:L381" si="177">trat.b</f>
        <v>0</v>
      </c>
      <c r="M372" s="193">
        <f>Resumo!$D$40</f>
        <v>0</v>
      </c>
      <c r="N372" s="193">
        <f>Resumo!$D$49</f>
        <v>0</v>
      </c>
      <c r="O372" s="192" t="s">
        <v>178</v>
      </c>
      <c r="P372" s="192" t="str">
        <f t="shared" si="170"/>
        <v>Taxa de difusão em X anos: XX%</v>
      </c>
      <c r="Q372" s="194">
        <f>'Market Share'!N56</f>
        <v>0</v>
      </c>
      <c r="R372" s="195">
        <f ca="1">R362</f>
        <v>0</v>
      </c>
      <c r="S372" s="196">
        <f ca="1">S362</f>
        <v>-4110544.4385289042</v>
      </c>
    </row>
    <row r="373" spans="1:19" x14ac:dyDescent="0.3">
      <c r="A373" s="198" t="str">
        <f>IF(AND(VALUE(RIGHT(O373,2))&lt;=controle_formulario!$E$16,VALUE(RIGHT(K373,2))&lt;=controle_formulario!$C$10,H373&lt;=Criterios!$C$31+controle_formulario!$I$16-1),"SIM","NÃO")</f>
        <v>NÃO</v>
      </c>
      <c r="B373" s="198">
        <f t="shared" si="153"/>
        <v>0</v>
      </c>
      <c r="C373" s="198" t="str">
        <f t="shared" si="154"/>
        <v>Formrol</v>
      </c>
      <c r="D373" s="179"/>
      <c r="E373" s="198" t="str">
        <f t="shared" si="155"/>
        <v>Planilha 1</v>
      </c>
      <c r="F373" s="198" t="str">
        <f t="shared" si="156"/>
        <v>Geral</v>
      </c>
      <c r="G373" s="198" t="s">
        <v>19</v>
      </c>
      <c r="H373" s="199">
        <f t="shared" ref="H373:I381" si="178">H363</f>
        <v>2027</v>
      </c>
      <c r="I373" s="200">
        <f t="shared" ca="1" si="178"/>
        <v>36.027114594978322</v>
      </c>
      <c r="J373" s="200" t="str">
        <f>IF(controle_formulario!$C$39=1,controle_formulario!$C$37,controle_formulario!$C$38)</f>
        <v>Epidemiologico Beneficiarios Saude Suplementar</v>
      </c>
      <c r="K373" s="197" t="s">
        <v>169</v>
      </c>
      <c r="L373" s="197">
        <f t="shared" si="177"/>
        <v>0</v>
      </c>
      <c r="M373" s="201">
        <f>M372</f>
        <v>0</v>
      </c>
      <c r="N373" s="201">
        <f>N372</f>
        <v>0</v>
      </c>
      <c r="O373" s="197" t="s">
        <v>178</v>
      </c>
      <c r="P373" s="197" t="str">
        <f t="shared" si="170"/>
        <v>Taxa de difusão em X anos: XX%</v>
      </c>
      <c r="Q373" s="202">
        <f>'Market Share'!N57</f>
        <v>0</v>
      </c>
      <c r="R373" s="203">
        <f t="shared" ref="R373:S381" ca="1" si="179">R363</f>
        <v>0</v>
      </c>
      <c r="S373" s="204">
        <f t="shared" ca="1" si="179"/>
        <v>-4124866.8092641174</v>
      </c>
    </row>
    <row r="374" spans="1:19" x14ac:dyDescent="0.3">
      <c r="A374" s="198" t="str">
        <f>IF(AND(VALUE(RIGHT(O374,2))&lt;=controle_formulario!$E$16,VALUE(RIGHT(K374,2))&lt;=controle_formulario!$C$10,H374&lt;=Criterios!$C$31+controle_formulario!$I$16-1),"SIM","NÃO")</f>
        <v>NÃO</v>
      </c>
      <c r="B374" s="198">
        <f t="shared" si="153"/>
        <v>0</v>
      </c>
      <c r="C374" s="198" t="str">
        <f t="shared" si="154"/>
        <v>Formrol</v>
      </c>
      <c r="D374" s="179"/>
      <c r="E374" s="198" t="str">
        <f t="shared" si="155"/>
        <v>Planilha 1</v>
      </c>
      <c r="F374" s="198" t="str">
        <f t="shared" si="156"/>
        <v>Geral</v>
      </c>
      <c r="G374" s="198" t="s">
        <v>20</v>
      </c>
      <c r="H374" s="199">
        <f t="shared" si="178"/>
        <v>2028</v>
      </c>
      <c r="I374" s="200">
        <f t="shared" ca="1" si="178"/>
        <v>36.142742272880319</v>
      </c>
      <c r="J374" s="200" t="str">
        <f>IF(controle_formulario!$C$39=1,controle_formulario!$C$37,controle_formulario!$C$38)</f>
        <v>Epidemiologico Beneficiarios Saude Suplementar</v>
      </c>
      <c r="K374" s="197" t="s">
        <v>169</v>
      </c>
      <c r="L374" s="197">
        <f t="shared" si="177"/>
        <v>0</v>
      </c>
      <c r="M374" s="201">
        <f t="shared" ref="M374:N381" si="180">M373</f>
        <v>0</v>
      </c>
      <c r="N374" s="201">
        <f t="shared" si="180"/>
        <v>0</v>
      </c>
      <c r="O374" s="197" t="s">
        <v>178</v>
      </c>
      <c r="P374" s="197" t="str">
        <f t="shared" si="170"/>
        <v>Taxa de difusão em X anos: XX%</v>
      </c>
      <c r="Q374" s="202">
        <f>'Market Share'!N58</f>
        <v>0</v>
      </c>
      <c r="R374" s="203">
        <f t="shared" ca="1" si="179"/>
        <v>0</v>
      </c>
      <c r="S374" s="204">
        <f t="shared" ca="1" si="179"/>
        <v>-4138105.4151356164</v>
      </c>
    </row>
    <row r="375" spans="1:19" x14ac:dyDescent="0.3">
      <c r="A375" s="198" t="str">
        <f>IF(AND(VALUE(RIGHT(O375,2))&lt;=controle_formulario!$E$16,VALUE(RIGHT(K375,2))&lt;=controle_formulario!$C$10,H375&lt;=Criterios!$C$31+controle_formulario!$I$16-1),"SIM","NÃO")</f>
        <v>NÃO</v>
      </c>
      <c r="B375" s="198">
        <f t="shared" si="153"/>
        <v>0</v>
      </c>
      <c r="C375" s="198" t="str">
        <f t="shared" si="154"/>
        <v>Formrol</v>
      </c>
      <c r="D375" s="179"/>
      <c r="E375" s="198" t="str">
        <f t="shared" si="155"/>
        <v>Planilha 1</v>
      </c>
      <c r="F375" s="198" t="str">
        <f t="shared" si="156"/>
        <v>Geral</v>
      </c>
      <c r="G375" s="198" t="s">
        <v>21</v>
      </c>
      <c r="H375" s="199">
        <f t="shared" si="178"/>
        <v>2029</v>
      </c>
      <c r="I375" s="200">
        <f t="shared" ca="1" si="178"/>
        <v>36.250027878529522</v>
      </c>
      <c r="J375" s="200" t="str">
        <f>IF(controle_formulario!$C$39=1,controle_formulario!$C$37,controle_formulario!$C$38)</f>
        <v>Epidemiologico Beneficiarios Saude Suplementar</v>
      </c>
      <c r="K375" s="197" t="s">
        <v>169</v>
      </c>
      <c r="L375" s="197">
        <f t="shared" si="177"/>
        <v>0</v>
      </c>
      <c r="M375" s="201">
        <f t="shared" si="180"/>
        <v>0</v>
      </c>
      <c r="N375" s="201">
        <f t="shared" si="180"/>
        <v>0</v>
      </c>
      <c r="O375" s="197" t="s">
        <v>178</v>
      </c>
      <c r="P375" s="197" t="str">
        <f t="shared" si="170"/>
        <v>Taxa de difusão em X anos: XX%</v>
      </c>
      <c r="Q375" s="202">
        <f>'Market Share'!N59</f>
        <v>0</v>
      </c>
      <c r="R375" s="203">
        <f t="shared" ca="1" si="179"/>
        <v>0</v>
      </c>
      <c r="S375" s="204">
        <f t="shared" ca="1" si="179"/>
        <v>-4150388.9087994657</v>
      </c>
    </row>
    <row r="376" spans="1:19" x14ac:dyDescent="0.3">
      <c r="A376" s="198" t="str">
        <f>IF(AND(VALUE(RIGHT(O376,2))&lt;=controle_formulario!$E$16,VALUE(RIGHT(K376,2))&lt;=controle_formulario!$C$10,H376&lt;=Criterios!$C$31+controle_formulario!$I$16-1),"SIM","NÃO")</f>
        <v>NÃO</v>
      </c>
      <c r="B376" s="198">
        <f t="shared" si="153"/>
        <v>0</v>
      </c>
      <c r="C376" s="198" t="str">
        <f t="shared" si="154"/>
        <v>Formrol</v>
      </c>
      <c r="D376" s="179"/>
      <c r="E376" s="198" t="str">
        <f t="shared" si="155"/>
        <v>Planilha 1</v>
      </c>
      <c r="F376" s="198" t="str">
        <f t="shared" si="156"/>
        <v>Geral</v>
      </c>
      <c r="G376" s="198" t="s">
        <v>22</v>
      </c>
      <c r="H376" s="199">
        <f t="shared" si="178"/>
        <v>2030</v>
      </c>
      <c r="I376" s="200">
        <f t="shared" ca="1" si="178"/>
        <v>36.350592396534239</v>
      </c>
      <c r="J376" s="200" t="str">
        <f>IF(controle_formulario!$C$39=1,controle_formulario!$C$37,controle_formulario!$C$38)</f>
        <v>Epidemiologico Beneficiarios Saude Suplementar</v>
      </c>
      <c r="K376" s="197" t="s">
        <v>169</v>
      </c>
      <c r="L376" s="197">
        <f t="shared" si="177"/>
        <v>0</v>
      </c>
      <c r="M376" s="201">
        <f t="shared" si="180"/>
        <v>0</v>
      </c>
      <c r="N376" s="201">
        <f t="shared" si="180"/>
        <v>0</v>
      </c>
      <c r="O376" s="197" t="s">
        <v>178</v>
      </c>
      <c r="P376" s="197" t="str">
        <f t="shared" si="170"/>
        <v>Taxa de difusão em X anos: XX%</v>
      </c>
      <c r="Q376" s="202">
        <f>'Market Share'!N60</f>
        <v>0</v>
      </c>
      <c r="R376" s="203">
        <f t="shared" ca="1" si="179"/>
        <v>0</v>
      </c>
      <c r="S376" s="204">
        <f t="shared" ca="1" si="179"/>
        <v>-4161902.8822933384</v>
      </c>
    </row>
    <row r="377" spans="1:19" x14ac:dyDescent="0.3">
      <c r="A377" s="198" t="str">
        <f>IF(AND(VALUE(RIGHT(O377,2))&lt;=controle_formulario!$E$16,VALUE(RIGHT(K377,2))&lt;=controle_formulario!$C$10,H377&lt;=Criterios!$C$31+controle_formulario!$I$16-1),"SIM","NÃO")</f>
        <v>NÃO</v>
      </c>
      <c r="B377" s="198">
        <f t="shared" si="153"/>
        <v>0</v>
      </c>
      <c r="C377" s="198" t="str">
        <f t="shared" si="154"/>
        <v>Formrol</v>
      </c>
      <c r="D377" s="179"/>
      <c r="E377" s="198" t="str">
        <f t="shared" si="155"/>
        <v>Planilha 1</v>
      </c>
      <c r="F377" s="198" t="str">
        <f t="shared" si="156"/>
        <v>Geral</v>
      </c>
      <c r="G377" s="198" t="s">
        <v>23</v>
      </c>
      <c r="H377" s="199">
        <f t="shared" si="178"/>
        <v>2031</v>
      </c>
      <c r="I377" s="200">
        <f t="shared" si="178"/>
        <v>0</v>
      </c>
      <c r="J377" s="200" t="str">
        <f>IF(controle_formulario!$C$39=1,controle_formulario!$C$37,controle_formulario!$C$38)</f>
        <v>Epidemiologico Beneficiarios Saude Suplementar</v>
      </c>
      <c r="K377" s="197" t="s">
        <v>169</v>
      </c>
      <c r="L377" s="197">
        <f t="shared" si="177"/>
        <v>0</v>
      </c>
      <c r="M377" s="201">
        <f t="shared" si="180"/>
        <v>0</v>
      </c>
      <c r="N377" s="201">
        <f t="shared" si="180"/>
        <v>0</v>
      </c>
      <c r="O377" s="197" t="s">
        <v>178</v>
      </c>
      <c r="P377" s="197" t="str">
        <f t="shared" si="170"/>
        <v>Taxa de difusão em X anos: XX%</v>
      </c>
      <c r="Q377" s="202">
        <f>'Market Share'!N61</f>
        <v>0</v>
      </c>
      <c r="R377" s="203">
        <f t="shared" ca="1" si="179"/>
        <v>0</v>
      </c>
      <c r="S377" s="204">
        <f t="shared" ca="1" si="179"/>
        <v>0</v>
      </c>
    </row>
    <row r="378" spans="1:19" x14ac:dyDescent="0.3">
      <c r="A378" s="198" t="str">
        <f>IF(AND(VALUE(RIGHT(O378,2))&lt;=controle_formulario!$E$16,VALUE(RIGHT(K378,2))&lt;=controle_formulario!$C$10,H378&lt;=Criterios!$C$31+controle_formulario!$I$16-1),"SIM","NÃO")</f>
        <v>NÃO</v>
      </c>
      <c r="B378" s="198">
        <f t="shared" si="153"/>
        <v>0</v>
      </c>
      <c r="C378" s="198" t="str">
        <f t="shared" si="154"/>
        <v>Formrol</v>
      </c>
      <c r="D378" s="179"/>
      <c r="E378" s="198" t="str">
        <f t="shared" si="155"/>
        <v>Planilha 1</v>
      </c>
      <c r="F378" s="198" t="str">
        <f t="shared" si="156"/>
        <v>Geral</v>
      </c>
      <c r="G378" s="198" t="s">
        <v>24</v>
      </c>
      <c r="H378" s="199">
        <f t="shared" si="178"/>
        <v>2032</v>
      </c>
      <c r="I378" s="200">
        <f t="shared" si="178"/>
        <v>0</v>
      </c>
      <c r="J378" s="200" t="str">
        <f>IF(controle_formulario!$C$39=1,controle_formulario!$C$37,controle_formulario!$C$38)</f>
        <v>Epidemiologico Beneficiarios Saude Suplementar</v>
      </c>
      <c r="K378" s="197" t="s">
        <v>169</v>
      </c>
      <c r="L378" s="197">
        <f t="shared" si="177"/>
        <v>0</v>
      </c>
      <c r="M378" s="201">
        <f t="shared" si="180"/>
        <v>0</v>
      </c>
      <c r="N378" s="201">
        <f t="shared" si="180"/>
        <v>0</v>
      </c>
      <c r="O378" s="197" t="s">
        <v>178</v>
      </c>
      <c r="P378" s="197" t="str">
        <f t="shared" si="170"/>
        <v>Taxa de difusão em X anos: XX%</v>
      </c>
      <c r="Q378" s="202">
        <f>'Market Share'!N62</f>
        <v>0</v>
      </c>
      <c r="R378" s="203">
        <f t="shared" ca="1" si="179"/>
        <v>0</v>
      </c>
      <c r="S378" s="204">
        <f t="shared" ca="1" si="179"/>
        <v>0</v>
      </c>
    </row>
    <row r="379" spans="1:19" x14ac:dyDescent="0.3">
      <c r="A379" s="198" t="str">
        <f>IF(AND(VALUE(RIGHT(O379,2))&lt;=controle_formulario!$E$16,VALUE(RIGHT(K379,2))&lt;=controle_formulario!$C$10,H379&lt;=Criterios!$C$31+controle_formulario!$I$16-1),"SIM","NÃO")</f>
        <v>NÃO</v>
      </c>
      <c r="B379" s="198">
        <f t="shared" si="153"/>
        <v>0</v>
      </c>
      <c r="C379" s="198" t="str">
        <f t="shared" si="154"/>
        <v>Formrol</v>
      </c>
      <c r="D379" s="179"/>
      <c r="E379" s="198" t="str">
        <f t="shared" si="155"/>
        <v>Planilha 1</v>
      </c>
      <c r="F379" s="198" t="str">
        <f t="shared" si="156"/>
        <v>Geral</v>
      </c>
      <c r="G379" s="198" t="s">
        <v>25</v>
      </c>
      <c r="H379" s="199">
        <f t="shared" si="178"/>
        <v>2033</v>
      </c>
      <c r="I379" s="200">
        <f t="shared" si="178"/>
        <v>0</v>
      </c>
      <c r="J379" s="200" t="str">
        <f>IF(controle_formulario!$C$39=1,controle_formulario!$C$37,controle_formulario!$C$38)</f>
        <v>Epidemiologico Beneficiarios Saude Suplementar</v>
      </c>
      <c r="K379" s="197" t="s">
        <v>169</v>
      </c>
      <c r="L379" s="197">
        <f t="shared" si="177"/>
        <v>0</v>
      </c>
      <c r="M379" s="201">
        <f t="shared" si="180"/>
        <v>0</v>
      </c>
      <c r="N379" s="201">
        <f t="shared" si="180"/>
        <v>0</v>
      </c>
      <c r="O379" s="197" t="s">
        <v>178</v>
      </c>
      <c r="P379" s="197" t="str">
        <f t="shared" si="170"/>
        <v>Taxa de difusão em X anos: XX%</v>
      </c>
      <c r="Q379" s="202">
        <f>'Market Share'!N63</f>
        <v>0</v>
      </c>
      <c r="R379" s="203">
        <f t="shared" ca="1" si="179"/>
        <v>0</v>
      </c>
      <c r="S379" s="204">
        <f t="shared" ca="1" si="179"/>
        <v>0</v>
      </c>
    </row>
    <row r="380" spans="1:19" x14ac:dyDescent="0.3">
      <c r="A380" s="198" t="str">
        <f>IF(AND(VALUE(RIGHT(O380,2))&lt;=controle_formulario!$E$16,VALUE(RIGHT(K380,2))&lt;=controle_formulario!$C$10,H380&lt;=Criterios!$C$31+controle_formulario!$I$16-1),"SIM","NÃO")</f>
        <v>NÃO</v>
      </c>
      <c r="B380" s="198">
        <f t="shared" si="153"/>
        <v>0</v>
      </c>
      <c r="C380" s="198" t="str">
        <f t="shared" si="154"/>
        <v>Formrol</v>
      </c>
      <c r="D380" s="179"/>
      <c r="E380" s="198" t="str">
        <f t="shared" si="155"/>
        <v>Planilha 1</v>
      </c>
      <c r="F380" s="198" t="str">
        <f t="shared" si="156"/>
        <v>Geral</v>
      </c>
      <c r="G380" s="198" t="s">
        <v>26</v>
      </c>
      <c r="H380" s="199">
        <f t="shared" si="178"/>
        <v>2034</v>
      </c>
      <c r="I380" s="200">
        <f t="shared" si="178"/>
        <v>0</v>
      </c>
      <c r="J380" s="200" t="str">
        <f>IF(controle_formulario!$C$39=1,controle_formulario!$C$37,controle_formulario!$C$38)</f>
        <v>Epidemiologico Beneficiarios Saude Suplementar</v>
      </c>
      <c r="K380" s="197" t="s">
        <v>169</v>
      </c>
      <c r="L380" s="197">
        <f t="shared" si="177"/>
        <v>0</v>
      </c>
      <c r="M380" s="201">
        <f t="shared" si="180"/>
        <v>0</v>
      </c>
      <c r="N380" s="201">
        <f t="shared" si="180"/>
        <v>0</v>
      </c>
      <c r="O380" s="197" t="s">
        <v>178</v>
      </c>
      <c r="P380" s="197" t="str">
        <f t="shared" si="170"/>
        <v>Taxa de difusão em X anos: XX%</v>
      </c>
      <c r="Q380" s="202">
        <f>'Market Share'!N64</f>
        <v>0</v>
      </c>
      <c r="R380" s="203">
        <f t="shared" ca="1" si="179"/>
        <v>0</v>
      </c>
      <c r="S380" s="204">
        <f t="shared" ca="1" si="179"/>
        <v>0</v>
      </c>
    </row>
    <row r="381" spans="1:19" ht="15" thickBot="1" x14ac:dyDescent="0.35">
      <c r="A381" s="205" t="str">
        <f>IF(AND(VALUE(RIGHT(O381,2))&lt;=controle_formulario!$E$16,VALUE(RIGHT(K381,2))&lt;=controle_formulario!$C$10,H381&lt;=Criterios!$C$31+controle_formulario!$I$16-1),"SIM","NÃO")</f>
        <v>NÃO</v>
      </c>
      <c r="B381" s="205">
        <f t="shared" si="153"/>
        <v>0</v>
      </c>
      <c r="C381" s="205" t="str">
        <f t="shared" si="154"/>
        <v>Formrol</v>
      </c>
      <c r="D381" s="180"/>
      <c r="E381" s="205" t="str">
        <f t="shared" si="155"/>
        <v>Planilha 1</v>
      </c>
      <c r="F381" s="205" t="str">
        <f t="shared" si="156"/>
        <v>Geral</v>
      </c>
      <c r="G381" s="205" t="s">
        <v>27</v>
      </c>
      <c r="H381" s="212">
        <f t="shared" si="178"/>
        <v>2035</v>
      </c>
      <c r="I381" s="213">
        <f t="shared" si="178"/>
        <v>0</v>
      </c>
      <c r="J381" s="207" t="str">
        <f>IF(controle_formulario!$C$39=1,controle_formulario!$C$37,controle_formulario!$C$38)</f>
        <v>Epidemiologico Beneficiarios Saude Suplementar</v>
      </c>
      <c r="K381" s="208" t="s">
        <v>169</v>
      </c>
      <c r="L381" s="208">
        <f t="shared" si="177"/>
        <v>0</v>
      </c>
      <c r="M381" s="201">
        <f t="shared" si="180"/>
        <v>0</v>
      </c>
      <c r="N381" s="201">
        <f t="shared" si="180"/>
        <v>0</v>
      </c>
      <c r="O381" s="214" t="s">
        <v>178</v>
      </c>
      <c r="P381" s="214" t="str">
        <f t="shared" si="170"/>
        <v>Taxa de difusão em X anos: XX%</v>
      </c>
      <c r="Q381" s="215">
        <f>'Market Share'!N65</f>
        <v>0</v>
      </c>
      <c r="R381" s="216">
        <f t="shared" ca="1" si="179"/>
        <v>0</v>
      </c>
      <c r="S381" s="217">
        <f t="shared" ca="1" si="179"/>
        <v>0</v>
      </c>
    </row>
    <row r="382" spans="1:19" x14ac:dyDescent="0.3">
      <c r="A382" s="189" t="str">
        <f>IF(AND(VALUE(RIGHT(O382,2))&lt;=controle_formulario!$E$16,VALUE(RIGHT(K382,2))&lt;=controle_formulario!$C$10,H382&lt;=Criterios!$C$31+controle_formulario!$I$16-1),"SIM","NÃO")</f>
        <v>NÃO</v>
      </c>
      <c r="B382" s="189">
        <f t="shared" si="153"/>
        <v>0</v>
      </c>
      <c r="C382" s="189" t="str">
        <f t="shared" si="154"/>
        <v>Formrol</v>
      </c>
      <c r="D382" s="177"/>
      <c r="E382" s="189" t="str">
        <f t="shared" si="155"/>
        <v>Planilha 1</v>
      </c>
      <c r="F382" s="189" t="str">
        <f t="shared" si="156"/>
        <v>Geral</v>
      </c>
      <c r="G382" s="189" t="s">
        <v>18</v>
      </c>
      <c r="H382" s="190">
        <f>H372</f>
        <v>2026</v>
      </c>
      <c r="I382" s="191">
        <f ca="1">I372</f>
        <v>35.902021176061034</v>
      </c>
      <c r="J382" s="191" t="str">
        <f>IF(controle_formulario!$C$39=1,controle_formulario!$C$37,controle_formulario!$C$38)</f>
        <v>Epidemiologico Beneficiarios Saude Suplementar</v>
      </c>
      <c r="K382" s="192" t="s">
        <v>170</v>
      </c>
      <c r="L382" s="192">
        <f t="shared" ref="L382:L391" si="181">trat.c</f>
        <v>0</v>
      </c>
      <c r="M382" s="193">
        <f>Resumo!$D$41</f>
        <v>0</v>
      </c>
      <c r="N382" s="193">
        <f>Resumo!$D$50</f>
        <v>0</v>
      </c>
      <c r="O382" s="192" t="s">
        <v>178</v>
      </c>
      <c r="P382" s="192" t="str">
        <f t="shared" si="170"/>
        <v>Taxa de difusão em X anos: XX%</v>
      </c>
      <c r="Q382" s="194">
        <f>'Market Share'!O56</f>
        <v>0</v>
      </c>
      <c r="R382" s="195">
        <f ca="1">R372</f>
        <v>0</v>
      </c>
      <c r="S382" s="196">
        <f ca="1">S372</f>
        <v>-4110544.4385289042</v>
      </c>
    </row>
    <row r="383" spans="1:19" x14ac:dyDescent="0.3">
      <c r="A383" s="198" t="str">
        <f>IF(AND(VALUE(RIGHT(O383,2))&lt;=controle_formulario!$E$16,VALUE(RIGHT(K383,2))&lt;=controle_formulario!$C$10,H383&lt;=Criterios!$C$31+controle_formulario!$I$16-1),"SIM","NÃO")</f>
        <v>NÃO</v>
      </c>
      <c r="B383" s="198">
        <f t="shared" si="153"/>
        <v>0</v>
      </c>
      <c r="C383" s="198" t="str">
        <f t="shared" si="154"/>
        <v>Formrol</v>
      </c>
      <c r="D383" s="179"/>
      <c r="E383" s="198" t="str">
        <f t="shared" si="155"/>
        <v>Planilha 1</v>
      </c>
      <c r="F383" s="198" t="str">
        <f t="shared" si="156"/>
        <v>Geral</v>
      </c>
      <c r="G383" s="198" t="s">
        <v>19</v>
      </c>
      <c r="H383" s="199">
        <f t="shared" ref="H383:I391" si="182">H373</f>
        <v>2027</v>
      </c>
      <c r="I383" s="200">
        <f t="shared" ca="1" si="182"/>
        <v>36.027114594978322</v>
      </c>
      <c r="J383" s="200" t="str">
        <f>IF(controle_formulario!$C$39=1,controle_formulario!$C$37,controle_formulario!$C$38)</f>
        <v>Epidemiologico Beneficiarios Saude Suplementar</v>
      </c>
      <c r="K383" s="197" t="s">
        <v>170</v>
      </c>
      <c r="L383" s="197">
        <f t="shared" si="181"/>
        <v>0</v>
      </c>
      <c r="M383" s="201">
        <f>M382</f>
        <v>0</v>
      </c>
      <c r="N383" s="201">
        <f>N382</f>
        <v>0</v>
      </c>
      <c r="O383" s="197" t="s">
        <v>178</v>
      </c>
      <c r="P383" s="197" t="str">
        <f t="shared" si="170"/>
        <v>Taxa de difusão em X anos: XX%</v>
      </c>
      <c r="Q383" s="202">
        <f>'Market Share'!O57</f>
        <v>0</v>
      </c>
      <c r="R383" s="203">
        <f t="shared" ref="R383:S391" ca="1" si="183">R373</f>
        <v>0</v>
      </c>
      <c r="S383" s="204">
        <f t="shared" ca="1" si="183"/>
        <v>-4124866.8092641174</v>
      </c>
    </row>
    <row r="384" spans="1:19" x14ac:dyDescent="0.3">
      <c r="A384" s="198" t="str">
        <f>IF(AND(VALUE(RIGHT(O384,2))&lt;=controle_formulario!$E$16,VALUE(RIGHT(K384,2))&lt;=controle_formulario!$C$10,H384&lt;=Criterios!$C$31+controle_formulario!$I$16-1),"SIM","NÃO")</f>
        <v>NÃO</v>
      </c>
      <c r="B384" s="198">
        <f t="shared" si="153"/>
        <v>0</v>
      </c>
      <c r="C384" s="198" t="str">
        <f t="shared" si="154"/>
        <v>Formrol</v>
      </c>
      <c r="D384" s="179"/>
      <c r="E384" s="198" t="str">
        <f t="shared" si="155"/>
        <v>Planilha 1</v>
      </c>
      <c r="F384" s="198" t="str">
        <f t="shared" si="156"/>
        <v>Geral</v>
      </c>
      <c r="G384" s="198" t="s">
        <v>20</v>
      </c>
      <c r="H384" s="199">
        <f t="shared" si="182"/>
        <v>2028</v>
      </c>
      <c r="I384" s="200">
        <f t="shared" ca="1" si="182"/>
        <v>36.142742272880319</v>
      </c>
      <c r="J384" s="200" t="str">
        <f>IF(controle_formulario!$C$39=1,controle_formulario!$C$37,controle_formulario!$C$38)</f>
        <v>Epidemiologico Beneficiarios Saude Suplementar</v>
      </c>
      <c r="K384" s="197" t="s">
        <v>170</v>
      </c>
      <c r="L384" s="197">
        <f t="shared" si="181"/>
        <v>0</v>
      </c>
      <c r="M384" s="201">
        <f t="shared" ref="M384:N391" si="184">M383</f>
        <v>0</v>
      </c>
      <c r="N384" s="201">
        <f t="shared" si="184"/>
        <v>0</v>
      </c>
      <c r="O384" s="197" t="s">
        <v>178</v>
      </c>
      <c r="P384" s="197" t="str">
        <f t="shared" ref="P384:P401" si="185">cen.alt7</f>
        <v>Taxa de difusão em X anos: XX%</v>
      </c>
      <c r="Q384" s="202">
        <f>'Market Share'!O58</f>
        <v>0</v>
      </c>
      <c r="R384" s="203">
        <f t="shared" ca="1" si="183"/>
        <v>0</v>
      </c>
      <c r="S384" s="204">
        <f t="shared" ca="1" si="183"/>
        <v>-4138105.4151356164</v>
      </c>
    </row>
    <row r="385" spans="1:19" x14ac:dyDescent="0.3">
      <c r="A385" s="198" t="str">
        <f>IF(AND(VALUE(RIGHT(O385,2))&lt;=controle_formulario!$E$16,VALUE(RIGHT(K385,2))&lt;=controle_formulario!$C$10,H385&lt;=Criterios!$C$31+controle_formulario!$I$16-1),"SIM","NÃO")</f>
        <v>NÃO</v>
      </c>
      <c r="B385" s="198">
        <f t="shared" si="153"/>
        <v>0</v>
      </c>
      <c r="C385" s="198" t="str">
        <f t="shared" si="154"/>
        <v>Formrol</v>
      </c>
      <c r="D385" s="179"/>
      <c r="E385" s="198" t="str">
        <f t="shared" si="155"/>
        <v>Planilha 1</v>
      </c>
      <c r="F385" s="198" t="str">
        <f t="shared" si="156"/>
        <v>Geral</v>
      </c>
      <c r="G385" s="198" t="s">
        <v>21</v>
      </c>
      <c r="H385" s="199">
        <f t="shared" si="182"/>
        <v>2029</v>
      </c>
      <c r="I385" s="200">
        <f t="shared" ca="1" si="182"/>
        <v>36.250027878529522</v>
      </c>
      <c r="J385" s="200" t="str">
        <f>IF(controle_formulario!$C$39=1,controle_formulario!$C$37,controle_formulario!$C$38)</f>
        <v>Epidemiologico Beneficiarios Saude Suplementar</v>
      </c>
      <c r="K385" s="197" t="s">
        <v>170</v>
      </c>
      <c r="L385" s="197">
        <f t="shared" si="181"/>
        <v>0</v>
      </c>
      <c r="M385" s="201">
        <f t="shared" si="184"/>
        <v>0</v>
      </c>
      <c r="N385" s="201">
        <f t="shared" si="184"/>
        <v>0</v>
      </c>
      <c r="O385" s="197" t="s">
        <v>178</v>
      </c>
      <c r="P385" s="197" t="str">
        <f t="shared" si="185"/>
        <v>Taxa de difusão em X anos: XX%</v>
      </c>
      <c r="Q385" s="202">
        <f>'Market Share'!O59</f>
        <v>0</v>
      </c>
      <c r="R385" s="203">
        <f t="shared" ca="1" si="183"/>
        <v>0</v>
      </c>
      <c r="S385" s="204">
        <f t="shared" ca="1" si="183"/>
        <v>-4150388.9087994657</v>
      </c>
    </row>
    <row r="386" spans="1:19" x14ac:dyDescent="0.3">
      <c r="A386" s="198" t="str">
        <f>IF(AND(VALUE(RIGHT(O386,2))&lt;=controle_formulario!$E$16,VALUE(RIGHT(K386,2))&lt;=controle_formulario!$C$10,H386&lt;=Criterios!$C$31+controle_formulario!$I$16-1),"SIM","NÃO")</f>
        <v>NÃO</v>
      </c>
      <c r="B386" s="198">
        <f t="shared" si="153"/>
        <v>0</v>
      </c>
      <c r="C386" s="198" t="str">
        <f t="shared" si="154"/>
        <v>Formrol</v>
      </c>
      <c r="D386" s="179"/>
      <c r="E386" s="198" t="str">
        <f t="shared" si="155"/>
        <v>Planilha 1</v>
      </c>
      <c r="F386" s="198" t="str">
        <f t="shared" si="156"/>
        <v>Geral</v>
      </c>
      <c r="G386" s="198" t="s">
        <v>22</v>
      </c>
      <c r="H386" s="199">
        <f t="shared" si="182"/>
        <v>2030</v>
      </c>
      <c r="I386" s="200">
        <f t="shared" ca="1" si="182"/>
        <v>36.350592396534239</v>
      </c>
      <c r="J386" s="200" t="str">
        <f>IF(controle_formulario!$C$39=1,controle_formulario!$C$37,controle_formulario!$C$38)</f>
        <v>Epidemiologico Beneficiarios Saude Suplementar</v>
      </c>
      <c r="K386" s="197" t="s">
        <v>170</v>
      </c>
      <c r="L386" s="197">
        <f t="shared" si="181"/>
        <v>0</v>
      </c>
      <c r="M386" s="201">
        <f t="shared" si="184"/>
        <v>0</v>
      </c>
      <c r="N386" s="201">
        <f t="shared" si="184"/>
        <v>0</v>
      </c>
      <c r="O386" s="197" t="s">
        <v>178</v>
      </c>
      <c r="P386" s="197" t="str">
        <f t="shared" si="185"/>
        <v>Taxa de difusão em X anos: XX%</v>
      </c>
      <c r="Q386" s="202">
        <f>'Market Share'!O60</f>
        <v>0</v>
      </c>
      <c r="R386" s="203">
        <f t="shared" ca="1" si="183"/>
        <v>0</v>
      </c>
      <c r="S386" s="204">
        <f t="shared" ca="1" si="183"/>
        <v>-4161902.8822933384</v>
      </c>
    </row>
    <row r="387" spans="1:19" x14ac:dyDescent="0.3">
      <c r="A387" s="198" t="str">
        <f>IF(AND(VALUE(RIGHT(O387,2))&lt;=controle_formulario!$E$16,VALUE(RIGHT(K387,2))&lt;=controle_formulario!$C$10,H387&lt;=Criterios!$C$31+controle_formulario!$I$16-1),"SIM","NÃO")</f>
        <v>NÃO</v>
      </c>
      <c r="B387" s="198">
        <f t="shared" ref="B387:B450" si="186">$W$2</f>
        <v>0</v>
      </c>
      <c r="C387" s="198" t="str">
        <f t="shared" ref="C387:C450" si="187">$W$3</f>
        <v>Formrol</v>
      </c>
      <c r="D387" s="179"/>
      <c r="E387" s="198" t="str">
        <f t="shared" ref="E387:E450" si="188">$W$5</f>
        <v>Planilha 1</v>
      </c>
      <c r="F387" s="198" t="str">
        <f t="shared" ref="F387:F450" si="189">$W$6</f>
        <v>Geral</v>
      </c>
      <c r="G387" s="198" t="s">
        <v>23</v>
      </c>
      <c r="H387" s="199">
        <f t="shared" si="182"/>
        <v>2031</v>
      </c>
      <c r="I387" s="200">
        <f t="shared" si="182"/>
        <v>0</v>
      </c>
      <c r="J387" s="200" t="str">
        <f>IF(controle_formulario!$C$39=1,controle_formulario!$C$37,controle_formulario!$C$38)</f>
        <v>Epidemiologico Beneficiarios Saude Suplementar</v>
      </c>
      <c r="K387" s="197" t="s">
        <v>170</v>
      </c>
      <c r="L387" s="197">
        <f t="shared" si="181"/>
        <v>0</v>
      </c>
      <c r="M387" s="201">
        <f t="shared" si="184"/>
        <v>0</v>
      </c>
      <c r="N387" s="201">
        <f t="shared" si="184"/>
        <v>0</v>
      </c>
      <c r="O387" s="197" t="s">
        <v>178</v>
      </c>
      <c r="P387" s="197" t="str">
        <f t="shared" si="185"/>
        <v>Taxa de difusão em X anos: XX%</v>
      </c>
      <c r="Q387" s="202">
        <f>'Market Share'!O61</f>
        <v>0</v>
      </c>
      <c r="R387" s="203">
        <f t="shared" ca="1" si="183"/>
        <v>0</v>
      </c>
      <c r="S387" s="204">
        <f t="shared" ca="1" si="183"/>
        <v>0</v>
      </c>
    </row>
    <row r="388" spans="1:19" x14ac:dyDescent="0.3">
      <c r="A388" s="198" t="str">
        <f>IF(AND(VALUE(RIGHT(O388,2))&lt;=controle_formulario!$E$16,VALUE(RIGHT(K388,2))&lt;=controle_formulario!$C$10,H388&lt;=Criterios!$C$31+controle_formulario!$I$16-1),"SIM","NÃO")</f>
        <v>NÃO</v>
      </c>
      <c r="B388" s="198">
        <f t="shared" si="186"/>
        <v>0</v>
      </c>
      <c r="C388" s="198" t="str">
        <f t="shared" si="187"/>
        <v>Formrol</v>
      </c>
      <c r="D388" s="179"/>
      <c r="E388" s="198" t="str">
        <f t="shared" si="188"/>
        <v>Planilha 1</v>
      </c>
      <c r="F388" s="198" t="str">
        <f t="shared" si="189"/>
        <v>Geral</v>
      </c>
      <c r="G388" s="198" t="s">
        <v>24</v>
      </c>
      <c r="H388" s="199">
        <f t="shared" si="182"/>
        <v>2032</v>
      </c>
      <c r="I388" s="200">
        <f t="shared" si="182"/>
        <v>0</v>
      </c>
      <c r="J388" s="200" t="str">
        <f>IF(controle_formulario!$C$39=1,controle_formulario!$C$37,controle_formulario!$C$38)</f>
        <v>Epidemiologico Beneficiarios Saude Suplementar</v>
      </c>
      <c r="K388" s="197" t="s">
        <v>170</v>
      </c>
      <c r="L388" s="197">
        <f t="shared" si="181"/>
        <v>0</v>
      </c>
      <c r="M388" s="201">
        <f t="shared" si="184"/>
        <v>0</v>
      </c>
      <c r="N388" s="201">
        <f t="shared" si="184"/>
        <v>0</v>
      </c>
      <c r="O388" s="197" t="s">
        <v>178</v>
      </c>
      <c r="P388" s="197" t="str">
        <f t="shared" si="185"/>
        <v>Taxa de difusão em X anos: XX%</v>
      </c>
      <c r="Q388" s="202">
        <f>'Market Share'!O62</f>
        <v>0</v>
      </c>
      <c r="R388" s="203">
        <f t="shared" ca="1" si="183"/>
        <v>0</v>
      </c>
      <c r="S388" s="204">
        <f t="shared" ca="1" si="183"/>
        <v>0</v>
      </c>
    </row>
    <row r="389" spans="1:19" x14ac:dyDescent="0.3">
      <c r="A389" s="198" t="str">
        <f>IF(AND(VALUE(RIGHT(O389,2))&lt;=controle_formulario!$E$16,VALUE(RIGHT(K389,2))&lt;=controle_formulario!$C$10,H389&lt;=Criterios!$C$31+controle_formulario!$I$16-1),"SIM","NÃO")</f>
        <v>NÃO</v>
      </c>
      <c r="B389" s="198">
        <f t="shared" si="186"/>
        <v>0</v>
      </c>
      <c r="C389" s="198" t="str">
        <f t="shared" si="187"/>
        <v>Formrol</v>
      </c>
      <c r="D389" s="179"/>
      <c r="E389" s="198" t="str">
        <f t="shared" si="188"/>
        <v>Planilha 1</v>
      </c>
      <c r="F389" s="198" t="str">
        <f t="shared" si="189"/>
        <v>Geral</v>
      </c>
      <c r="G389" s="198" t="s">
        <v>25</v>
      </c>
      <c r="H389" s="199">
        <f t="shared" si="182"/>
        <v>2033</v>
      </c>
      <c r="I389" s="200">
        <f t="shared" si="182"/>
        <v>0</v>
      </c>
      <c r="J389" s="200" t="str">
        <f>IF(controle_formulario!$C$39=1,controle_formulario!$C$37,controle_formulario!$C$38)</f>
        <v>Epidemiologico Beneficiarios Saude Suplementar</v>
      </c>
      <c r="K389" s="197" t="s">
        <v>170</v>
      </c>
      <c r="L389" s="197">
        <f t="shared" si="181"/>
        <v>0</v>
      </c>
      <c r="M389" s="201">
        <f t="shared" si="184"/>
        <v>0</v>
      </c>
      <c r="N389" s="201">
        <f t="shared" si="184"/>
        <v>0</v>
      </c>
      <c r="O389" s="197" t="s">
        <v>178</v>
      </c>
      <c r="P389" s="197" t="str">
        <f t="shared" si="185"/>
        <v>Taxa de difusão em X anos: XX%</v>
      </c>
      <c r="Q389" s="202">
        <f>'Market Share'!O63</f>
        <v>0</v>
      </c>
      <c r="R389" s="203">
        <f t="shared" ca="1" si="183"/>
        <v>0</v>
      </c>
      <c r="S389" s="204">
        <f t="shared" ca="1" si="183"/>
        <v>0</v>
      </c>
    </row>
    <row r="390" spans="1:19" x14ac:dyDescent="0.3">
      <c r="A390" s="198" t="str">
        <f>IF(AND(VALUE(RIGHT(O390,2))&lt;=controle_formulario!$E$16,VALUE(RIGHT(K390,2))&lt;=controle_formulario!$C$10,H390&lt;=Criterios!$C$31+controle_formulario!$I$16-1),"SIM","NÃO")</f>
        <v>NÃO</v>
      </c>
      <c r="B390" s="198">
        <f t="shared" si="186"/>
        <v>0</v>
      </c>
      <c r="C390" s="198" t="str">
        <f t="shared" si="187"/>
        <v>Formrol</v>
      </c>
      <c r="D390" s="179"/>
      <c r="E390" s="198" t="str">
        <f t="shared" si="188"/>
        <v>Planilha 1</v>
      </c>
      <c r="F390" s="198" t="str">
        <f t="shared" si="189"/>
        <v>Geral</v>
      </c>
      <c r="G390" s="198" t="s">
        <v>26</v>
      </c>
      <c r="H390" s="199">
        <f t="shared" si="182"/>
        <v>2034</v>
      </c>
      <c r="I390" s="200">
        <f t="shared" si="182"/>
        <v>0</v>
      </c>
      <c r="J390" s="200" t="str">
        <f>IF(controle_formulario!$C$39=1,controle_formulario!$C$37,controle_formulario!$C$38)</f>
        <v>Epidemiologico Beneficiarios Saude Suplementar</v>
      </c>
      <c r="K390" s="197" t="s">
        <v>170</v>
      </c>
      <c r="L390" s="197">
        <f t="shared" si="181"/>
        <v>0</v>
      </c>
      <c r="M390" s="201">
        <f t="shared" si="184"/>
        <v>0</v>
      </c>
      <c r="N390" s="201">
        <f t="shared" si="184"/>
        <v>0</v>
      </c>
      <c r="O390" s="197" t="s">
        <v>178</v>
      </c>
      <c r="P390" s="197" t="str">
        <f t="shared" si="185"/>
        <v>Taxa de difusão em X anos: XX%</v>
      </c>
      <c r="Q390" s="202">
        <f>'Market Share'!O64</f>
        <v>0</v>
      </c>
      <c r="R390" s="203">
        <f t="shared" ca="1" si="183"/>
        <v>0</v>
      </c>
      <c r="S390" s="204">
        <f t="shared" ca="1" si="183"/>
        <v>0</v>
      </c>
    </row>
    <row r="391" spans="1:19" ht="15" thickBot="1" x14ac:dyDescent="0.35">
      <c r="A391" s="205" t="str">
        <f>IF(AND(VALUE(RIGHT(O391,2))&lt;=controle_formulario!$E$16,VALUE(RIGHT(K391,2))&lt;=controle_formulario!$C$10,H391&lt;=Criterios!$C$31+controle_formulario!$I$16-1),"SIM","NÃO")</f>
        <v>NÃO</v>
      </c>
      <c r="B391" s="205">
        <f t="shared" si="186"/>
        <v>0</v>
      </c>
      <c r="C391" s="205" t="str">
        <f t="shared" si="187"/>
        <v>Formrol</v>
      </c>
      <c r="D391" s="180"/>
      <c r="E391" s="205" t="str">
        <f t="shared" si="188"/>
        <v>Planilha 1</v>
      </c>
      <c r="F391" s="205" t="str">
        <f t="shared" si="189"/>
        <v>Geral</v>
      </c>
      <c r="G391" s="205" t="s">
        <v>27</v>
      </c>
      <c r="H391" s="206">
        <f t="shared" si="182"/>
        <v>2035</v>
      </c>
      <c r="I391" s="207">
        <f t="shared" si="182"/>
        <v>0</v>
      </c>
      <c r="J391" s="207" t="str">
        <f>IF(controle_formulario!$C$39=1,controle_formulario!$C$37,controle_formulario!$C$38)</f>
        <v>Epidemiologico Beneficiarios Saude Suplementar</v>
      </c>
      <c r="K391" s="208" t="s">
        <v>170</v>
      </c>
      <c r="L391" s="208">
        <f t="shared" si="181"/>
        <v>0</v>
      </c>
      <c r="M391" s="201">
        <f t="shared" si="184"/>
        <v>0</v>
      </c>
      <c r="N391" s="201">
        <f t="shared" si="184"/>
        <v>0</v>
      </c>
      <c r="O391" s="214" t="s">
        <v>178</v>
      </c>
      <c r="P391" s="214" t="str">
        <f t="shared" si="185"/>
        <v>Taxa de difusão em X anos: XX%</v>
      </c>
      <c r="Q391" s="215">
        <f>'Market Share'!O65</f>
        <v>0</v>
      </c>
      <c r="R391" s="216">
        <f t="shared" ca="1" si="183"/>
        <v>0</v>
      </c>
      <c r="S391" s="217">
        <f t="shared" ca="1" si="183"/>
        <v>0</v>
      </c>
    </row>
    <row r="392" spans="1:19" x14ac:dyDescent="0.3">
      <c r="A392" s="189" t="str">
        <f>IF(AND(VALUE(RIGHT(O392,2))&lt;=controle_formulario!$E$16,VALUE(RIGHT(K392,2))&lt;=controle_formulario!$C$10,H392&lt;=Criterios!$C$31+controle_formulario!$I$16-1),"SIM","NÃO")</f>
        <v>NÃO</v>
      </c>
      <c r="B392" s="189">
        <f t="shared" si="186"/>
        <v>0</v>
      </c>
      <c r="C392" s="189" t="str">
        <f t="shared" si="187"/>
        <v>Formrol</v>
      </c>
      <c r="D392" s="177"/>
      <c r="E392" s="189" t="str">
        <f t="shared" si="188"/>
        <v>Planilha 1</v>
      </c>
      <c r="F392" s="189" t="str">
        <f t="shared" si="189"/>
        <v>Geral</v>
      </c>
      <c r="G392" s="189" t="s">
        <v>18</v>
      </c>
      <c r="H392" s="190">
        <f>H382</f>
        <v>2026</v>
      </c>
      <c r="I392" s="191">
        <f ca="1">I382</f>
        <v>35.902021176061034</v>
      </c>
      <c r="J392" s="191" t="str">
        <f>IF(controle_formulario!$C$39=1,controle_formulario!$C$37,controle_formulario!$C$38)</f>
        <v>Epidemiologico Beneficiarios Saude Suplementar</v>
      </c>
      <c r="K392" s="192" t="s">
        <v>171</v>
      </c>
      <c r="L392" s="192">
        <f t="shared" ref="L392:L401" si="190">trat.d</f>
        <v>0</v>
      </c>
      <c r="M392" s="193">
        <f>Resumo!$D$42</f>
        <v>0</v>
      </c>
      <c r="N392" s="193">
        <f>Resumo!$D$51</f>
        <v>0</v>
      </c>
      <c r="O392" s="192" t="s">
        <v>178</v>
      </c>
      <c r="P392" s="192" t="str">
        <f t="shared" si="185"/>
        <v>Taxa de difusão em X anos: XX%</v>
      </c>
      <c r="Q392" s="194">
        <f>'Market Share'!P56</f>
        <v>0</v>
      </c>
      <c r="R392" s="195">
        <f ca="1">R382</f>
        <v>0</v>
      </c>
      <c r="S392" s="196">
        <f ca="1">S382</f>
        <v>-4110544.4385289042</v>
      </c>
    </row>
    <row r="393" spans="1:19" x14ac:dyDescent="0.3">
      <c r="A393" s="198" t="str">
        <f>IF(AND(VALUE(RIGHT(O393,2))&lt;=controle_formulario!$E$16,VALUE(RIGHT(K393,2))&lt;=controle_formulario!$C$10,H393&lt;=Criterios!$C$31+controle_formulario!$I$16-1),"SIM","NÃO")</f>
        <v>NÃO</v>
      </c>
      <c r="B393" s="198">
        <f t="shared" si="186"/>
        <v>0</v>
      </c>
      <c r="C393" s="198" t="str">
        <f t="shared" si="187"/>
        <v>Formrol</v>
      </c>
      <c r="D393" s="179"/>
      <c r="E393" s="198" t="str">
        <f t="shared" si="188"/>
        <v>Planilha 1</v>
      </c>
      <c r="F393" s="198" t="str">
        <f t="shared" si="189"/>
        <v>Geral</v>
      </c>
      <c r="G393" s="198" t="s">
        <v>19</v>
      </c>
      <c r="H393" s="199">
        <f t="shared" ref="H393:I401" si="191">H383</f>
        <v>2027</v>
      </c>
      <c r="I393" s="200">
        <f t="shared" ca="1" si="191"/>
        <v>36.027114594978322</v>
      </c>
      <c r="J393" s="200" t="str">
        <f>IF(controle_formulario!$C$39=1,controle_formulario!$C$37,controle_formulario!$C$38)</f>
        <v>Epidemiologico Beneficiarios Saude Suplementar</v>
      </c>
      <c r="K393" s="197" t="s">
        <v>171</v>
      </c>
      <c r="L393" s="197">
        <f t="shared" si="190"/>
        <v>0</v>
      </c>
      <c r="M393" s="201">
        <f>M392</f>
        <v>0</v>
      </c>
      <c r="N393" s="201">
        <f>N392</f>
        <v>0</v>
      </c>
      <c r="O393" s="197" t="s">
        <v>178</v>
      </c>
      <c r="P393" s="197" t="str">
        <f t="shared" si="185"/>
        <v>Taxa de difusão em X anos: XX%</v>
      </c>
      <c r="Q393" s="202">
        <f>'Market Share'!P57</f>
        <v>0</v>
      </c>
      <c r="R393" s="203">
        <f t="shared" ref="R393:S401" ca="1" si="192">R383</f>
        <v>0</v>
      </c>
      <c r="S393" s="204">
        <f t="shared" ca="1" si="192"/>
        <v>-4124866.8092641174</v>
      </c>
    </row>
    <row r="394" spans="1:19" x14ac:dyDescent="0.3">
      <c r="A394" s="198" t="str">
        <f>IF(AND(VALUE(RIGHT(O394,2))&lt;=controle_formulario!$E$16,VALUE(RIGHT(K394,2))&lt;=controle_formulario!$C$10,H394&lt;=Criterios!$C$31+controle_formulario!$I$16-1),"SIM","NÃO")</f>
        <v>NÃO</v>
      </c>
      <c r="B394" s="198">
        <f t="shared" si="186"/>
        <v>0</v>
      </c>
      <c r="C394" s="198" t="str">
        <f t="shared" si="187"/>
        <v>Formrol</v>
      </c>
      <c r="D394" s="179"/>
      <c r="E394" s="198" t="str">
        <f t="shared" si="188"/>
        <v>Planilha 1</v>
      </c>
      <c r="F394" s="198" t="str">
        <f t="shared" si="189"/>
        <v>Geral</v>
      </c>
      <c r="G394" s="198" t="s">
        <v>20</v>
      </c>
      <c r="H394" s="199">
        <f t="shared" si="191"/>
        <v>2028</v>
      </c>
      <c r="I394" s="200">
        <f t="shared" ca="1" si="191"/>
        <v>36.142742272880319</v>
      </c>
      <c r="J394" s="200" t="str">
        <f>IF(controle_formulario!$C$39=1,controle_formulario!$C$37,controle_formulario!$C$38)</f>
        <v>Epidemiologico Beneficiarios Saude Suplementar</v>
      </c>
      <c r="K394" s="197" t="s">
        <v>171</v>
      </c>
      <c r="L394" s="197">
        <f t="shared" si="190"/>
        <v>0</v>
      </c>
      <c r="M394" s="201">
        <f t="shared" ref="M394:N401" si="193">M393</f>
        <v>0</v>
      </c>
      <c r="N394" s="201">
        <f t="shared" si="193"/>
        <v>0</v>
      </c>
      <c r="O394" s="197" t="s">
        <v>178</v>
      </c>
      <c r="P394" s="197" t="str">
        <f t="shared" si="185"/>
        <v>Taxa de difusão em X anos: XX%</v>
      </c>
      <c r="Q394" s="202">
        <f>'Market Share'!P58</f>
        <v>0</v>
      </c>
      <c r="R394" s="203">
        <f t="shared" ca="1" si="192"/>
        <v>0</v>
      </c>
      <c r="S394" s="204">
        <f t="shared" ca="1" si="192"/>
        <v>-4138105.4151356164</v>
      </c>
    </row>
    <row r="395" spans="1:19" x14ac:dyDescent="0.3">
      <c r="A395" s="198" t="str">
        <f>IF(AND(VALUE(RIGHT(O395,2))&lt;=controle_formulario!$E$16,VALUE(RIGHT(K395,2))&lt;=controle_formulario!$C$10,H395&lt;=Criterios!$C$31+controle_formulario!$I$16-1),"SIM","NÃO")</f>
        <v>NÃO</v>
      </c>
      <c r="B395" s="198">
        <f t="shared" si="186"/>
        <v>0</v>
      </c>
      <c r="C395" s="198" t="str">
        <f t="shared" si="187"/>
        <v>Formrol</v>
      </c>
      <c r="D395" s="179"/>
      <c r="E395" s="198" t="str">
        <f t="shared" si="188"/>
        <v>Planilha 1</v>
      </c>
      <c r="F395" s="198" t="str">
        <f t="shared" si="189"/>
        <v>Geral</v>
      </c>
      <c r="G395" s="198" t="s">
        <v>21</v>
      </c>
      <c r="H395" s="199">
        <f t="shared" si="191"/>
        <v>2029</v>
      </c>
      <c r="I395" s="200">
        <f t="shared" ca="1" si="191"/>
        <v>36.250027878529522</v>
      </c>
      <c r="J395" s="200" t="str">
        <f>IF(controle_formulario!$C$39=1,controle_formulario!$C$37,controle_formulario!$C$38)</f>
        <v>Epidemiologico Beneficiarios Saude Suplementar</v>
      </c>
      <c r="K395" s="197" t="s">
        <v>171</v>
      </c>
      <c r="L395" s="197">
        <f t="shared" si="190"/>
        <v>0</v>
      </c>
      <c r="M395" s="201">
        <f t="shared" si="193"/>
        <v>0</v>
      </c>
      <c r="N395" s="201">
        <f t="shared" si="193"/>
        <v>0</v>
      </c>
      <c r="O395" s="197" t="s">
        <v>178</v>
      </c>
      <c r="P395" s="197" t="str">
        <f t="shared" si="185"/>
        <v>Taxa de difusão em X anos: XX%</v>
      </c>
      <c r="Q395" s="202">
        <f>'Market Share'!P59</f>
        <v>0</v>
      </c>
      <c r="R395" s="203">
        <f t="shared" ca="1" si="192"/>
        <v>0</v>
      </c>
      <c r="S395" s="204">
        <f t="shared" ca="1" si="192"/>
        <v>-4150388.9087994657</v>
      </c>
    </row>
    <row r="396" spans="1:19" x14ac:dyDescent="0.3">
      <c r="A396" s="198" t="str">
        <f>IF(AND(VALUE(RIGHT(O396,2))&lt;=controle_formulario!$E$16,VALUE(RIGHT(K396,2))&lt;=controle_formulario!$C$10,H396&lt;=Criterios!$C$31+controle_formulario!$I$16-1),"SIM","NÃO")</f>
        <v>NÃO</v>
      </c>
      <c r="B396" s="198">
        <f t="shared" si="186"/>
        <v>0</v>
      </c>
      <c r="C396" s="198" t="str">
        <f t="shared" si="187"/>
        <v>Formrol</v>
      </c>
      <c r="D396" s="179"/>
      <c r="E396" s="198" t="str">
        <f t="shared" si="188"/>
        <v>Planilha 1</v>
      </c>
      <c r="F396" s="198" t="str">
        <f t="shared" si="189"/>
        <v>Geral</v>
      </c>
      <c r="G396" s="198" t="s">
        <v>22</v>
      </c>
      <c r="H396" s="199">
        <f t="shared" si="191"/>
        <v>2030</v>
      </c>
      <c r="I396" s="200">
        <f t="shared" ca="1" si="191"/>
        <v>36.350592396534239</v>
      </c>
      <c r="J396" s="200" t="str">
        <f>IF(controle_formulario!$C$39=1,controle_formulario!$C$37,controle_formulario!$C$38)</f>
        <v>Epidemiologico Beneficiarios Saude Suplementar</v>
      </c>
      <c r="K396" s="197" t="s">
        <v>171</v>
      </c>
      <c r="L396" s="197">
        <f t="shared" si="190"/>
        <v>0</v>
      </c>
      <c r="M396" s="201">
        <f t="shared" si="193"/>
        <v>0</v>
      </c>
      <c r="N396" s="201">
        <f t="shared" si="193"/>
        <v>0</v>
      </c>
      <c r="O396" s="197" t="s">
        <v>178</v>
      </c>
      <c r="P396" s="197" t="str">
        <f t="shared" si="185"/>
        <v>Taxa de difusão em X anos: XX%</v>
      </c>
      <c r="Q396" s="202">
        <f>'Market Share'!P60</f>
        <v>0</v>
      </c>
      <c r="R396" s="203">
        <f t="shared" ca="1" si="192"/>
        <v>0</v>
      </c>
      <c r="S396" s="204">
        <f t="shared" ca="1" si="192"/>
        <v>-4161902.8822933384</v>
      </c>
    </row>
    <row r="397" spans="1:19" x14ac:dyDescent="0.3">
      <c r="A397" s="198" t="str">
        <f>IF(AND(VALUE(RIGHT(O397,2))&lt;=controle_formulario!$E$16,VALUE(RIGHT(K397,2))&lt;=controle_formulario!$C$10,H397&lt;=Criterios!$C$31+controle_formulario!$I$16-1),"SIM","NÃO")</f>
        <v>NÃO</v>
      </c>
      <c r="B397" s="198">
        <f t="shared" si="186"/>
        <v>0</v>
      </c>
      <c r="C397" s="198" t="str">
        <f t="shared" si="187"/>
        <v>Formrol</v>
      </c>
      <c r="D397" s="179"/>
      <c r="E397" s="198" t="str">
        <f t="shared" si="188"/>
        <v>Planilha 1</v>
      </c>
      <c r="F397" s="198" t="str">
        <f t="shared" si="189"/>
        <v>Geral</v>
      </c>
      <c r="G397" s="198" t="s">
        <v>23</v>
      </c>
      <c r="H397" s="199">
        <f t="shared" si="191"/>
        <v>2031</v>
      </c>
      <c r="I397" s="200">
        <f t="shared" si="191"/>
        <v>0</v>
      </c>
      <c r="J397" s="200" t="str">
        <f>IF(controle_formulario!$C$39=1,controle_formulario!$C$37,controle_formulario!$C$38)</f>
        <v>Epidemiologico Beneficiarios Saude Suplementar</v>
      </c>
      <c r="K397" s="197" t="s">
        <v>171</v>
      </c>
      <c r="L397" s="197">
        <f t="shared" si="190"/>
        <v>0</v>
      </c>
      <c r="M397" s="201">
        <f t="shared" si="193"/>
        <v>0</v>
      </c>
      <c r="N397" s="201">
        <f t="shared" si="193"/>
        <v>0</v>
      </c>
      <c r="O397" s="197" t="s">
        <v>178</v>
      </c>
      <c r="P397" s="197" t="str">
        <f t="shared" si="185"/>
        <v>Taxa de difusão em X anos: XX%</v>
      </c>
      <c r="Q397" s="202">
        <f>'Market Share'!P61</f>
        <v>0</v>
      </c>
      <c r="R397" s="203">
        <f t="shared" ca="1" si="192"/>
        <v>0</v>
      </c>
      <c r="S397" s="204">
        <f t="shared" ca="1" si="192"/>
        <v>0</v>
      </c>
    </row>
    <row r="398" spans="1:19" x14ac:dyDescent="0.3">
      <c r="A398" s="198" t="str">
        <f>IF(AND(VALUE(RIGHT(O398,2))&lt;=controle_formulario!$E$16,VALUE(RIGHT(K398,2))&lt;=controle_formulario!$C$10,H398&lt;=Criterios!$C$31+controle_formulario!$I$16-1),"SIM","NÃO")</f>
        <v>NÃO</v>
      </c>
      <c r="B398" s="198">
        <f t="shared" si="186"/>
        <v>0</v>
      </c>
      <c r="C398" s="198" t="str">
        <f t="shared" si="187"/>
        <v>Formrol</v>
      </c>
      <c r="D398" s="179"/>
      <c r="E398" s="198" t="str">
        <f t="shared" si="188"/>
        <v>Planilha 1</v>
      </c>
      <c r="F398" s="198" t="str">
        <f t="shared" si="189"/>
        <v>Geral</v>
      </c>
      <c r="G398" s="198" t="s">
        <v>24</v>
      </c>
      <c r="H398" s="199">
        <f t="shared" si="191"/>
        <v>2032</v>
      </c>
      <c r="I398" s="200">
        <f t="shared" si="191"/>
        <v>0</v>
      </c>
      <c r="J398" s="200" t="str">
        <f>IF(controle_formulario!$C$39=1,controle_formulario!$C$37,controle_formulario!$C$38)</f>
        <v>Epidemiologico Beneficiarios Saude Suplementar</v>
      </c>
      <c r="K398" s="197" t="s">
        <v>171</v>
      </c>
      <c r="L398" s="197">
        <f t="shared" si="190"/>
        <v>0</v>
      </c>
      <c r="M398" s="201">
        <f t="shared" si="193"/>
        <v>0</v>
      </c>
      <c r="N398" s="201">
        <f t="shared" si="193"/>
        <v>0</v>
      </c>
      <c r="O398" s="197" t="s">
        <v>178</v>
      </c>
      <c r="P398" s="197" t="str">
        <f t="shared" si="185"/>
        <v>Taxa de difusão em X anos: XX%</v>
      </c>
      <c r="Q398" s="202">
        <f>'Market Share'!P62</f>
        <v>0</v>
      </c>
      <c r="R398" s="203">
        <f t="shared" ca="1" si="192"/>
        <v>0</v>
      </c>
      <c r="S398" s="204">
        <f t="shared" ca="1" si="192"/>
        <v>0</v>
      </c>
    </row>
    <row r="399" spans="1:19" x14ac:dyDescent="0.3">
      <c r="A399" s="198" t="str">
        <f>IF(AND(VALUE(RIGHT(O399,2))&lt;=controle_formulario!$E$16,VALUE(RIGHT(K399,2))&lt;=controle_formulario!$C$10,H399&lt;=Criterios!$C$31+controle_formulario!$I$16-1),"SIM","NÃO")</f>
        <v>NÃO</v>
      </c>
      <c r="B399" s="198">
        <f t="shared" si="186"/>
        <v>0</v>
      </c>
      <c r="C399" s="198" t="str">
        <f t="shared" si="187"/>
        <v>Formrol</v>
      </c>
      <c r="D399" s="179"/>
      <c r="E399" s="198" t="str">
        <f t="shared" si="188"/>
        <v>Planilha 1</v>
      </c>
      <c r="F399" s="198" t="str">
        <f t="shared" si="189"/>
        <v>Geral</v>
      </c>
      <c r="G399" s="198" t="s">
        <v>25</v>
      </c>
      <c r="H399" s="199">
        <f t="shared" si="191"/>
        <v>2033</v>
      </c>
      <c r="I399" s="200">
        <f t="shared" si="191"/>
        <v>0</v>
      </c>
      <c r="J399" s="200" t="str">
        <f>IF(controle_formulario!$C$39=1,controle_formulario!$C$37,controle_formulario!$C$38)</f>
        <v>Epidemiologico Beneficiarios Saude Suplementar</v>
      </c>
      <c r="K399" s="197" t="s">
        <v>171</v>
      </c>
      <c r="L399" s="197">
        <f t="shared" si="190"/>
        <v>0</v>
      </c>
      <c r="M399" s="201">
        <f t="shared" si="193"/>
        <v>0</v>
      </c>
      <c r="N399" s="201">
        <f t="shared" si="193"/>
        <v>0</v>
      </c>
      <c r="O399" s="197" t="s">
        <v>178</v>
      </c>
      <c r="P399" s="197" t="str">
        <f t="shared" si="185"/>
        <v>Taxa de difusão em X anos: XX%</v>
      </c>
      <c r="Q399" s="202">
        <f>'Market Share'!P63</f>
        <v>0</v>
      </c>
      <c r="R399" s="203">
        <f t="shared" ca="1" si="192"/>
        <v>0</v>
      </c>
      <c r="S399" s="204">
        <f t="shared" ca="1" si="192"/>
        <v>0</v>
      </c>
    </row>
    <row r="400" spans="1:19" x14ac:dyDescent="0.3">
      <c r="A400" s="198" t="str">
        <f>IF(AND(VALUE(RIGHT(O400,2))&lt;=controle_formulario!$E$16,VALUE(RIGHT(K400,2))&lt;=controle_formulario!$C$10,H400&lt;=Criterios!$C$31+controle_formulario!$I$16-1),"SIM","NÃO")</f>
        <v>NÃO</v>
      </c>
      <c r="B400" s="198">
        <f t="shared" si="186"/>
        <v>0</v>
      </c>
      <c r="C400" s="198" t="str">
        <f t="shared" si="187"/>
        <v>Formrol</v>
      </c>
      <c r="D400" s="179"/>
      <c r="E400" s="198" t="str">
        <f t="shared" si="188"/>
        <v>Planilha 1</v>
      </c>
      <c r="F400" s="198" t="str">
        <f t="shared" si="189"/>
        <v>Geral</v>
      </c>
      <c r="G400" s="198" t="s">
        <v>26</v>
      </c>
      <c r="H400" s="199">
        <f t="shared" si="191"/>
        <v>2034</v>
      </c>
      <c r="I400" s="200">
        <f t="shared" si="191"/>
        <v>0</v>
      </c>
      <c r="J400" s="200" t="str">
        <f>IF(controle_formulario!$C$39=1,controle_formulario!$C$37,controle_formulario!$C$38)</f>
        <v>Epidemiologico Beneficiarios Saude Suplementar</v>
      </c>
      <c r="K400" s="197" t="s">
        <v>171</v>
      </c>
      <c r="L400" s="197">
        <f t="shared" si="190"/>
        <v>0</v>
      </c>
      <c r="M400" s="201">
        <f t="shared" si="193"/>
        <v>0</v>
      </c>
      <c r="N400" s="201">
        <f t="shared" si="193"/>
        <v>0</v>
      </c>
      <c r="O400" s="197" t="s">
        <v>178</v>
      </c>
      <c r="P400" s="197" t="str">
        <f t="shared" si="185"/>
        <v>Taxa de difusão em X anos: XX%</v>
      </c>
      <c r="Q400" s="202">
        <f>'Market Share'!P64</f>
        <v>0</v>
      </c>
      <c r="R400" s="203">
        <f t="shared" ca="1" si="192"/>
        <v>0</v>
      </c>
      <c r="S400" s="204">
        <f t="shared" ca="1" si="192"/>
        <v>0</v>
      </c>
    </row>
    <row r="401" spans="1:19" ht="15" thickBot="1" x14ac:dyDescent="0.35">
      <c r="A401" s="205" t="str">
        <f>IF(AND(VALUE(RIGHT(O401,2))&lt;=controle_formulario!$E$16,VALUE(RIGHT(K401,2))&lt;=controle_formulario!$C$10,H401&lt;=Criterios!$C$31+controle_formulario!$I$16-1),"SIM","NÃO")</f>
        <v>NÃO</v>
      </c>
      <c r="B401" s="205">
        <f t="shared" si="186"/>
        <v>0</v>
      </c>
      <c r="C401" s="205" t="str">
        <f t="shared" si="187"/>
        <v>Formrol</v>
      </c>
      <c r="D401" s="180"/>
      <c r="E401" s="205" t="str">
        <f t="shared" si="188"/>
        <v>Planilha 1</v>
      </c>
      <c r="F401" s="205" t="str">
        <f t="shared" si="189"/>
        <v>Geral</v>
      </c>
      <c r="G401" s="205" t="s">
        <v>27</v>
      </c>
      <c r="H401" s="206">
        <f t="shared" si="191"/>
        <v>2035</v>
      </c>
      <c r="I401" s="207">
        <f t="shared" si="191"/>
        <v>0</v>
      </c>
      <c r="J401" s="207" t="str">
        <f>IF(controle_formulario!$C$39=1,controle_formulario!$C$37,controle_formulario!$C$38)</f>
        <v>Epidemiologico Beneficiarios Saude Suplementar</v>
      </c>
      <c r="K401" s="214" t="s">
        <v>171</v>
      </c>
      <c r="L401" s="214">
        <f t="shared" si="190"/>
        <v>0</v>
      </c>
      <c r="M401" s="201">
        <f t="shared" si="193"/>
        <v>0</v>
      </c>
      <c r="N401" s="201">
        <f t="shared" si="193"/>
        <v>0</v>
      </c>
      <c r="O401" s="214" t="s">
        <v>178</v>
      </c>
      <c r="P401" s="214" t="str">
        <f t="shared" si="185"/>
        <v>Taxa de difusão em X anos: XX%</v>
      </c>
      <c r="Q401" s="215">
        <f>'Market Share'!P65</f>
        <v>0</v>
      </c>
      <c r="R401" s="216">
        <f t="shared" ca="1" si="192"/>
        <v>0</v>
      </c>
      <c r="S401" s="217">
        <f t="shared" ca="1" si="192"/>
        <v>0</v>
      </c>
    </row>
    <row r="402" spans="1:19" x14ac:dyDescent="0.3">
      <c r="A402" s="189" t="str">
        <f>IF(AND(VALUE(RIGHT(O402,2))&lt;=controle_formulario!$E$16,H402&lt;=Criterios!$C$31+controle_formulario!$I$16-1),"SIM","NÃO")</f>
        <v>NÃO</v>
      </c>
      <c r="B402" s="189">
        <f t="shared" si="186"/>
        <v>0</v>
      </c>
      <c r="C402" s="189" t="str">
        <f t="shared" si="187"/>
        <v>Formrol</v>
      </c>
      <c r="D402" s="177"/>
      <c r="E402" s="189" t="str">
        <f t="shared" si="188"/>
        <v>Planilha 1</v>
      </c>
      <c r="F402" s="189" t="str">
        <f t="shared" si="189"/>
        <v>Geral</v>
      </c>
      <c r="G402" s="189" t="s">
        <v>18</v>
      </c>
      <c r="H402" s="190">
        <f>H392</f>
        <v>2026</v>
      </c>
      <c r="I402" s="191">
        <f ca="1">I392</f>
        <v>35.902021176061034</v>
      </c>
      <c r="J402" s="191" t="str">
        <f>IF(controle_formulario!$C$39=1,controle_formulario!$C$37,controle_formulario!$C$38)</f>
        <v>Epidemiologico Beneficiarios Saude Suplementar</v>
      </c>
      <c r="K402" s="192" t="s">
        <v>157</v>
      </c>
      <c r="L402" s="192" t="str">
        <f t="shared" ref="L402:L411" si="194">trat.novo</f>
        <v>Pirtobrutinibe</v>
      </c>
      <c r="M402" s="193">
        <f>Resumo!$D$38</f>
        <v>470468.67999999976</v>
      </c>
      <c r="N402" s="193">
        <f>Resumo!$D$47</f>
        <v>0</v>
      </c>
      <c r="O402" s="192" t="s">
        <v>179</v>
      </c>
      <c r="P402" s="192" t="str">
        <f t="shared" ref="P402:P433" si="195">cen.alt8</f>
        <v>Taxa de difusão em X anos: XX%</v>
      </c>
      <c r="Q402" s="194">
        <f>'Market Share'!D72</f>
        <v>0</v>
      </c>
      <c r="R402" s="195">
        <f ca="1">Resumo!L56</f>
        <v>0</v>
      </c>
      <c r="S402" s="196">
        <f ca="1">Resumo!L72</f>
        <v>-4110544.4385289042</v>
      </c>
    </row>
    <row r="403" spans="1:19" x14ac:dyDescent="0.3">
      <c r="A403" s="198" t="str">
        <f>IF(AND(VALUE(RIGHT(O403,2))&lt;=controle_formulario!$E$16,H403&lt;=Criterios!$C$31+controle_formulario!$I$16-1),"SIM","NÃO")</f>
        <v>NÃO</v>
      </c>
      <c r="B403" s="198">
        <f t="shared" si="186"/>
        <v>0</v>
      </c>
      <c r="C403" s="198" t="str">
        <f t="shared" si="187"/>
        <v>Formrol</v>
      </c>
      <c r="D403" s="179"/>
      <c r="E403" s="198" t="str">
        <f t="shared" si="188"/>
        <v>Planilha 1</v>
      </c>
      <c r="F403" s="198" t="str">
        <f t="shared" si="189"/>
        <v>Geral</v>
      </c>
      <c r="G403" s="198" t="s">
        <v>19</v>
      </c>
      <c r="H403" s="199">
        <f t="shared" ref="H403:I411" si="196">H393</f>
        <v>2027</v>
      </c>
      <c r="I403" s="200">
        <f t="shared" ca="1" si="196"/>
        <v>36.027114594978322</v>
      </c>
      <c r="J403" s="200" t="str">
        <f>IF(controle_formulario!$C$39=1,controle_formulario!$C$37,controle_formulario!$C$38)</f>
        <v>Epidemiologico Beneficiarios Saude Suplementar</v>
      </c>
      <c r="K403" s="197" t="s">
        <v>157</v>
      </c>
      <c r="L403" s="197" t="str">
        <f t="shared" si="194"/>
        <v>Pirtobrutinibe</v>
      </c>
      <c r="M403" s="201">
        <f>M402</f>
        <v>470468.67999999976</v>
      </c>
      <c r="N403" s="201">
        <f>N402</f>
        <v>0</v>
      </c>
      <c r="O403" s="197" t="s">
        <v>179</v>
      </c>
      <c r="P403" s="197" t="str">
        <f t="shared" si="195"/>
        <v>Taxa de difusão em X anos: XX%</v>
      </c>
      <c r="Q403" s="202">
        <f>'Market Share'!D73</f>
        <v>0</v>
      </c>
      <c r="R403" s="203">
        <f ca="1">Resumo!L57</f>
        <v>0</v>
      </c>
      <c r="S403" s="204">
        <f ca="1">Resumo!L73</f>
        <v>-4124866.8092641174</v>
      </c>
    </row>
    <row r="404" spans="1:19" x14ac:dyDescent="0.3">
      <c r="A404" s="198" t="str">
        <f>IF(AND(VALUE(RIGHT(O404,2))&lt;=controle_formulario!$E$16,H404&lt;=Criterios!$C$31+controle_formulario!$I$16-1),"SIM","NÃO")</f>
        <v>NÃO</v>
      </c>
      <c r="B404" s="198">
        <f t="shared" si="186"/>
        <v>0</v>
      </c>
      <c r="C404" s="198" t="str">
        <f t="shared" si="187"/>
        <v>Formrol</v>
      </c>
      <c r="D404" s="179"/>
      <c r="E404" s="198" t="str">
        <f t="shared" si="188"/>
        <v>Planilha 1</v>
      </c>
      <c r="F404" s="198" t="str">
        <f t="shared" si="189"/>
        <v>Geral</v>
      </c>
      <c r="G404" s="198" t="s">
        <v>20</v>
      </c>
      <c r="H404" s="199">
        <f t="shared" si="196"/>
        <v>2028</v>
      </c>
      <c r="I404" s="200">
        <f t="shared" ca="1" si="196"/>
        <v>36.142742272880319</v>
      </c>
      <c r="J404" s="200" t="str">
        <f>IF(controle_formulario!$C$39=1,controle_formulario!$C$37,controle_formulario!$C$38)</f>
        <v>Epidemiologico Beneficiarios Saude Suplementar</v>
      </c>
      <c r="K404" s="197" t="s">
        <v>157</v>
      </c>
      <c r="L404" s="197" t="str">
        <f t="shared" si="194"/>
        <v>Pirtobrutinibe</v>
      </c>
      <c r="M404" s="201">
        <f t="shared" ref="M404:N411" si="197">M403</f>
        <v>470468.67999999976</v>
      </c>
      <c r="N404" s="201">
        <f t="shared" si="197"/>
        <v>0</v>
      </c>
      <c r="O404" s="197" t="s">
        <v>179</v>
      </c>
      <c r="P404" s="197" t="str">
        <f t="shared" si="195"/>
        <v>Taxa de difusão em X anos: XX%</v>
      </c>
      <c r="Q404" s="202">
        <f>'Market Share'!D74</f>
        <v>0</v>
      </c>
      <c r="R404" s="203">
        <f ca="1">Resumo!L58</f>
        <v>0</v>
      </c>
      <c r="S404" s="204">
        <f ca="1">Resumo!L74</f>
        <v>-4138105.4151356164</v>
      </c>
    </row>
    <row r="405" spans="1:19" x14ac:dyDescent="0.3">
      <c r="A405" s="198" t="str">
        <f>IF(AND(VALUE(RIGHT(O405,2))&lt;=controle_formulario!$E$16,H405&lt;=Criterios!$C$31+controle_formulario!$I$16-1),"SIM","NÃO")</f>
        <v>NÃO</v>
      </c>
      <c r="B405" s="198">
        <f t="shared" si="186"/>
        <v>0</v>
      </c>
      <c r="C405" s="198" t="str">
        <f t="shared" si="187"/>
        <v>Formrol</v>
      </c>
      <c r="D405" s="179"/>
      <c r="E405" s="198" t="str">
        <f t="shared" si="188"/>
        <v>Planilha 1</v>
      </c>
      <c r="F405" s="198" t="str">
        <f t="shared" si="189"/>
        <v>Geral</v>
      </c>
      <c r="G405" s="198" t="s">
        <v>21</v>
      </c>
      <c r="H405" s="199">
        <f t="shared" si="196"/>
        <v>2029</v>
      </c>
      <c r="I405" s="200">
        <f t="shared" ca="1" si="196"/>
        <v>36.250027878529522</v>
      </c>
      <c r="J405" s="200" t="str">
        <f>IF(controle_formulario!$C$39=1,controle_formulario!$C$37,controle_formulario!$C$38)</f>
        <v>Epidemiologico Beneficiarios Saude Suplementar</v>
      </c>
      <c r="K405" s="197" t="s">
        <v>157</v>
      </c>
      <c r="L405" s="197" t="str">
        <f t="shared" si="194"/>
        <v>Pirtobrutinibe</v>
      </c>
      <c r="M405" s="201">
        <f t="shared" si="197"/>
        <v>470468.67999999976</v>
      </c>
      <c r="N405" s="201">
        <f t="shared" si="197"/>
        <v>0</v>
      </c>
      <c r="O405" s="197" t="s">
        <v>179</v>
      </c>
      <c r="P405" s="197" t="str">
        <f t="shared" si="195"/>
        <v>Taxa de difusão em X anos: XX%</v>
      </c>
      <c r="Q405" s="202">
        <f>'Market Share'!D75</f>
        <v>0</v>
      </c>
      <c r="R405" s="203">
        <f ca="1">Resumo!L59</f>
        <v>0</v>
      </c>
      <c r="S405" s="204">
        <f ca="1">Resumo!L75</f>
        <v>-4150388.9087994657</v>
      </c>
    </row>
    <row r="406" spans="1:19" x14ac:dyDescent="0.3">
      <c r="A406" s="198" t="str">
        <f>IF(AND(VALUE(RIGHT(O406,2))&lt;=controle_formulario!$E$16,H406&lt;=Criterios!$C$31+controle_formulario!$I$16-1),"SIM","NÃO")</f>
        <v>NÃO</v>
      </c>
      <c r="B406" s="198">
        <f t="shared" si="186"/>
        <v>0</v>
      </c>
      <c r="C406" s="198" t="str">
        <f t="shared" si="187"/>
        <v>Formrol</v>
      </c>
      <c r="D406" s="179"/>
      <c r="E406" s="198" t="str">
        <f t="shared" si="188"/>
        <v>Planilha 1</v>
      </c>
      <c r="F406" s="198" t="str">
        <f t="shared" si="189"/>
        <v>Geral</v>
      </c>
      <c r="G406" s="198" t="s">
        <v>22</v>
      </c>
      <c r="H406" s="199">
        <f t="shared" si="196"/>
        <v>2030</v>
      </c>
      <c r="I406" s="200">
        <f t="shared" ca="1" si="196"/>
        <v>36.350592396534239</v>
      </c>
      <c r="J406" s="200" t="str">
        <f>IF(controle_formulario!$C$39=1,controle_formulario!$C$37,controle_formulario!$C$38)</f>
        <v>Epidemiologico Beneficiarios Saude Suplementar</v>
      </c>
      <c r="K406" s="197" t="s">
        <v>157</v>
      </c>
      <c r="L406" s="197" t="str">
        <f t="shared" si="194"/>
        <v>Pirtobrutinibe</v>
      </c>
      <c r="M406" s="201">
        <f t="shared" si="197"/>
        <v>470468.67999999976</v>
      </c>
      <c r="N406" s="201">
        <f t="shared" si="197"/>
        <v>0</v>
      </c>
      <c r="O406" s="197" t="s">
        <v>179</v>
      </c>
      <c r="P406" s="197" t="str">
        <f t="shared" si="195"/>
        <v>Taxa de difusão em X anos: XX%</v>
      </c>
      <c r="Q406" s="202">
        <f>'Market Share'!D76</f>
        <v>0</v>
      </c>
      <c r="R406" s="203">
        <f ca="1">Resumo!L60</f>
        <v>0</v>
      </c>
      <c r="S406" s="204">
        <f ca="1">Resumo!L76</f>
        <v>-4161902.8822933384</v>
      </c>
    </row>
    <row r="407" spans="1:19" x14ac:dyDescent="0.3">
      <c r="A407" s="198" t="str">
        <f>IF(AND(VALUE(RIGHT(O407,2))&lt;=controle_formulario!$E$16,H407&lt;=Criterios!$C$31+controle_formulario!$I$16-1),"SIM","NÃO")</f>
        <v>NÃO</v>
      </c>
      <c r="B407" s="198">
        <f t="shared" si="186"/>
        <v>0</v>
      </c>
      <c r="C407" s="198" t="str">
        <f t="shared" si="187"/>
        <v>Formrol</v>
      </c>
      <c r="D407" s="179"/>
      <c r="E407" s="198" t="str">
        <f t="shared" si="188"/>
        <v>Planilha 1</v>
      </c>
      <c r="F407" s="198" t="str">
        <f t="shared" si="189"/>
        <v>Geral</v>
      </c>
      <c r="G407" s="198" t="s">
        <v>23</v>
      </c>
      <c r="H407" s="199">
        <f t="shared" si="196"/>
        <v>2031</v>
      </c>
      <c r="I407" s="200">
        <f t="shared" si="196"/>
        <v>0</v>
      </c>
      <c r="J407" s="200" t="str">
        <f>IF(controle_formulario!$C$39=1,controle_formulario!$C$37,controle_formulario!$C$38)</f>
        <v>Epidemiologico Beneficiarios Saude Suplementar</v>
      </c>
      <c r="K407" s="197" t="s">
        <v>157</v>
      </c>
      <c r="L407" s="197" t="str">
        <f t="shared" si="194"/>
        <v>Pirtobrutinibe</v>
      </c>
      <c r="M407" s="201">
        <f t="shared" si="197"/>
        <v>470468.67999999976</v>
      </c>
      <c r="N407" s="201">
        <f t="shared" si="197"/>
        <v>0</v>
      </c>
      <c r="O407" s="197" t="s">
        <v>179</v>
      </c>
      <c r="P407" s="197" t="str">
        <f t="shared" si="195"/>
        <v>Taxa de difusão em X anos: XX%</v>
      </c>
      <c r="Q407" s="202">
        <f>'Market Share'!D77</f>
        <v>0</v>
      </c>
      <c r="R407" s="203">
        <f ca="1">Resumo!L61</f>
        <v>0</v>
      </c>
      <c r="S407" s="204">
        <f ca="1">Resumo!L77</f>
        <v>0</v>
      </c>
    </row>
    <row r="408" spans="1:19" x14ac:dyDescent="0.3">
      <c r="A408" s="198" t="str">
        <f>IF(AND(VALUE(RIGHT(O408,2))&lt;=controle_formulario!$E$16,H408&lt;=Criterios!$C$31+controle_formulario!$I$16-1),"SIM","NÃO")</f>
        <v>NÃO</v>
      </c>
      <c r="B408" s="198">
        <f t="shared" si="186"/>
        <v>0</v>
      </c>
      <c r="C408" s="198" t="str">
        <f t="shared" si="187"/>
        <v>Formrol</v>
      </c>
      <c r="D408" s="179"/>
      <c r="E408" s="198" t="str">
        <f t="shared" si="188"/>
        <v>Planilha 1</v>
      </c>
      <c r="F408" s="198" t="str">
        <f t="shared" si="189"/>
        <v>Geral</v>
      </c>
      <c r="G408" s="198" t="s">
        <v>24</v>
      </c>
      <c r="H408" s="199">
        <f t="shared" si="196"/>
        <v>2032</v>
      </c>
      <c r="I408" s="200">
        <f t="shared" si="196"/>
        <v>0</v>
      </c>
      <c r="J408" s="200" t="str">
        <f>IF(controle_formulario!$C$39=1,controle_formulario!$C$37,controle_formulario!$C$38)</f>
        <v>Epidemiologico Beneficiarios Saude Suplementar</v>
      </c>
      <c r="K408" s="197" t="s">
        <v>157</v>
      </c>
      <c r="L408" s="197" t="str">
        <f t="shared" si="194"/>
        <v>Pirtobrutinibe</v>
      </c>
      <c r="M408" s="201">
        <f t="shared" si="197"/>
        <v>470468.67999999976</v>
      </c>
      <c r="N408" s="201">
        <f t="shared" si="197"/>
        <v>0</v>
      </c>
      <c r="O408" s="197" t="s">
        <v>179</v>
      </c>
      <c r="P408" s="197" t="str">
        <f t="shared" si="195"/>
        <v>Taxa de difusão em X anos: XX%</v>
      </c>
      <c r="Q408" s="202">
        <f>'Market Share'!D78</f>
        <v>0</v>
      </c>
      <c r="R408" s="203">
        <f ca="1">Resumo!L62</f>
        <v>0</v>
      </c>
      <c r="S408" s="204">
        <f ca="1">Resumo!L78</f>
        <v>0</v>
      </c>
    </row>
    <row r="409" spans="1:19" x14ac:dyDescent="0.3">
      <c r="A409" s="198" t="str">
        <f>IF(AND(VALUE(RIGHT(O409,2))&lt;=controle_formulario!$E$16,H409&lt;=Criterios!$C$31+controle_formulario!$I$16-1),"SIM","NÃO")</f>
        <v>NÃO</v>
      </c>
      <c r="B409" s="198">
        <f t="shared" si="186"/>
        <v>0</v>
      </c>
      <c r="C409" s="198" t="str">
        <f t="shared" si="187"/>
        <v>Formrol</v>
      </c>
      <c r="D409" s="179"/>
      <c r="E409" s="198" t="str">
        <f t="shared" si="188"/>
        <v>Planilha 1</v>
      </c>
      <c r="F409" s="198" t="str">
        <f t="shared" si="189"/>
        <v>Geral</v>
      </c>
      <c r="G409" s="198" t="s">
        <v>25</v>
      </c>
      <c r="H409" s="199">
        <f t="shared" si="196"/>
        <v>2033</v>
      </c>
      <c r="I409" s="200">
        <f t="shared" si="196"/>
        <v>0</v>
      </c>
      <c r="J409" s="200" t="str">
        <f>IF(controle_formulario!$C$39=1,controle_formulario!$C$37,controle_formulario!$C$38)</f>
        <v>Epidemiologico Beneficiarios Saude Suplementar</v>
      </c>
      <c r="K409" s="197" t="s">
        <v>157</v>
      </c>
      <c r="L409" s="197" t="str">
        <f t="shared" si="194"/>
        <v>Pirtobrutinibe</v>
      </c>
      <c r="M409" s="201">
        <f t="shared" si="197"/>
        <v>470468.67999999976</v>
      </c>
      <c r="N409" s="201">
        <f t="shared" si="197"/>
        <v>0</v>
      </c>
      <c r="O409" s="197" t="s">
        <v>179</v>
      </c>
      <c r="P409" s="197" t="str">
        <f t="shared" si="195"/>
        <v>Taxa de difusão em X anos: XX%</v>
      </c>
      <c r="Q409" s="202">
        <f>'Market Share'!D79</f>
        <v>0</v>
      </c>
      <c r="R409" s="203">
        <f ca="1">Resumo!L63</f>
        <v>0</v>
      </c>
      <c r="S409" s="204">
        <f ca="1">Resumo!L79</f>
        <v>0</v>
      </c>
    </row>
    <row r="410" spans="1:19" x14ac:dyDescent="0.3">
      <c r="A410" s="198" t="str">
        <f>IF(AND(VALUE(RIGHT(O410,2))&lt;=controle_formulario!$E$16,H410&lt;=Criterios!$C$31+controle_formulario!$I$16-1),"SIM","NÃO")</f>
        <v>NÃO</v>
      </c>
      <c r="B410" s="198">
        <f t="shared" si="186"/>
        <v>0</v>
      </c>
      <c r="C410" s="198" t="str">
        <f t="shared" si="187"/>
        <v>Formrol</v>
      </c>
      <c r="D410" s="179"/>
      <c r="E410" s="198" t="str">
        <f t="shared" si="188"/>
        <v>Planilha 1</v>
      </c>
      <c r="F410" s="198" t="str">
        <f t="shared" si="189"/>
        <v>Geral</v>
      </c>
      <c r="G410" s="198" t="s">
        <v>26</v>
      </c>
      <c r="H410" s="199">
        <f t="shared" si="196"/>
        <v>2034</v>
      </c>
      <c r="I410" s="200">
        <f t="shared" si="196"/>
        <v>0</v>
      </c>
      <c r="J410" s="200" t="str">
        <f>IF(controle_formulario!$C$39=1,controle_formulario!$C$37,controle_formulario!$C$38)</f>
        <v>Epidemiologico Beneficiarios Saude Suplementar</v>
      </c>
      <c r="K410" s="197" t="s">
        <v>157</v>
      </c>
      <c r="L410" s="197" t="str">
        <f t="shared" si="194"/>
        <v>Pirtobrutinibe</v>
      </c>
      <c r="M410" s="201">
        <f t="shared" si="197"/>
        <v>470468.67999999976</v>
      </c>
      <c r="N410" s="201">
        <f t="shared" si="197"/>
        <v>0</v>
      </c>
      <c r="O410" s="197" t="s">
        <v>179</v>
      </c>
      <c r="P410" s="197" t="str">
        <f t="shared" si="195"/>
        <v>Taxa de difusão em X anos: XX%</v>
      </c>
      <c r="Q410" s="202">
        <f>'Market Share'!D80</f>
        <v>0</v>
      </c>
      <c r="R410" s="203">
        <f ca="1">Resumo!L64</f>
        <v>0</v>
      </c>
      <c r="S410" s="204">
        <f ca="1">Resumo!L80</f>
        <v>0</v>
      </c>
    </row>
    <row r="411" spans="1:19" ht="15" thickBot="1" x14ac:dyDescent="0.35">
      <c r="A411" s="205" t="str">
        <f>IF(AND(VALUE(RIGHT(O411,2))&lt;=controle_formulario!$E$16,H411&lt;=Criterios!$C$31+controle_formulario!$I$16-1),"SIM","NÃO")</f>
        <v>NÃO</v>
      </c>
      <c r="B411" s="205">
        <f t="shared" si="186"/>
        <v>0</v>
      </c>
      <c r="C411" s="205" t="str">
        <f t="shared" si="187"/>
        <v>Formrol</v>
      </c>
      <c r="D411" s="180"/>
      <c r="E411" s="205" t="str">
        <f t="shared" si="188"/>
        <v>Planilha 1</v>
      </c>
      <c r="F411" s="205" t="str">
        <f t="shared" si="189"/>
        <v>Geral</v>
      </c>
      <c r="G411" s="205" t="s">
        <v>27</v>
      </c>
      <c r="H411" s="206">
        <f t="shared" si="196"/>
        <v>2035</v>
      </c>
      <c r="I411" s="207">
        <f t="shared" si="196"/>
        <v>0</v>
      </c>
      <c r="J411" s="207" t="str">
        <f>IF(controle_formulario!$C$39=1,controle_formulario!$C$37,controle_formulario!$C$38)</f>
        <v>Epidemiologico Beneficiarios Saude Suplementar</v>
      </c>
      <c r="K411" s="208" t="s">
        <v>157</v>
      </c>
      <c r="L411" s="208" t="str">
        <f t="shared" si="194"/>
        <v>Pirtobrutinibe</v>
      </c>
      <c r="M411" s="201">
        <f t="shared" si="197"/>
        <v>470468.67999999976</v>
      </c>
      <c r="N411" s="201">
        <f t="shared" si="197"/>
        <v>0</v>
      </c>
      <c r="O411" s="214" t="s">
        <v>179</v>
      </c>
      <c r="P411" s="214" t="str">
        <f t="shared" si="195"/>
        <v>Taxa de difusão em X anos: XX%</v>
      </c>
      <c r="Q411" s="209">
        <f>'Market Share'!D81</f>
        <v>0</v>
      </c>
      <c r="R411" s="216">
        <f ca="1">Resumo!L65</f>
        <v>0</v>
      </c>
      <c r="S411" s="217">
        <f ca="1">Resumo!L81</f>
        <v>0</v>
      </c>
    </row>
    <row r="412" spans="1:19" x14ac:dyDescent="0.3">
      <c r="A412" s="189" t="str">
        <f>IF(AND(VALUE(RIGHT(O412,2))&lt;=controle_formulario!$E$16,VALUE(RIGHT(K412,2))&lt;=controle_formulario!$C$10,H412&lt;=Criterios!$C$31+controle_formulario!$I$16-1),"SIM","NÃO")</f>
        <v>NÃO</v>
      </c>
      <c r="B412" s="189">
        <f t="shared" si="186"/>
        <v>0</v>
      </c>
      <c r="C412" s="189" t="str">
        <f t="shared" si="187"/>
        <v>Formrol</v>
      </c>
      <c r="D412" s="177"/>
      <c r="E412" s="189" t="str">
        <f t="shared" si="188"/>
        <v>Planilha 1</v>
      </c>
      <c r="F412" s="189" t="str">
        <f t="shared" si="189"/>
        <v>Geral</v>
      </c>
      <c r="G412" s="189" t="s">
        <v>18</v>
      </c>
      <c r="H412" s="190">
        <f>H402</f>
        <v>2026</v>
      </c>
      <c r="I412" s="191">
        <f ca="1">I402</f>
        <v>35.902021176061034</v>
      </c>
      <c r="J412" s="191" t="str">
        <f>IF(controle_formulario!$C$39=1,controle_formulario!$C$37,controle_formulario!$C$38)</f>
        <v>Epidemiologico Beneficiarios Saude Suplementar</v>
      </c>
      <c r="K412" s="192" t="s">
        <v>168</v>
      </c>
      <c r="L412" s="192" t="str">
        <f t="shared" ref="L412:L421" si="198">trat.a</f>
        <v xml:space="preserve"> Conjunto de Tratamentos-Padrão</v>
      </c>
      <c r="M412" s="193" t="e">
        <f>Resumo!$D$39</f>
        <v>#REF!</v>
      </c>
      <c r="N412" s="193">
        <f>Resumo!$D$48</f>
        <v>0</v>
      </c>
      <c r="O412" s="192" t="s">
        <v>179</v>
      </c>
      <c r="P412" s="192" t="str">
        <f t="shared" si="195"/>
        <v>Taxa de difusão em X anos: XX%</v>
      </c>
      <c r="Q412" s="194">
        <f>'Market Share'!E72</f>
        <v>0</v>
      </c>
      <c r="R412" s="195">
        <f ca="1">R402</f>
        <v>0</v>
      </c>
      <c r="S412" s="196">
        <f ca="1">S402</f>
        <v>-4110544.4385289042</v>
      </c>
    </row>
    <row r="413" spans="1:19" x14ac:dyDescent="0.3">
      <c r="A413" s="198" t="str">
        <f>IF(AND(VALUE(RIGHT(O413,2))&lt;=controle_formulario!$E$16,VALUE(RIGHT(K413,2))&lt;=controle_formulario!$C$10,H413&lt;=Criterios!$C$31+controle_formulario!$I$16-1),"SIM","NÃO")</f>
        <v>NÃO</v>
      </c>
      <c r="B413" s="198">
        <f t="shared" si="186"/>
        <v>0</v>
      </c>
      <c r="C413" s="198" t="str">
        <f t="shared" si="187"/>
        <v>Formrol</v>
      </c>
      <c r="D413" s="179"/>
      <c r="E413" s="198" t="str">
        <f t="shared" si="188"/>
        <v>Planilha 1</v>
      </c>
      <c r="F413" s="198" t="str">
        <f t="shared" si="189"/>
        <v>Geral</v>
      </c>
      <c r="G413" s="198" t="s">
        <v>19</v>
      </c>
      <c r="H413" s="199">
        <f t="shared" ref="H413:I421" si="199">H403</f>
        <v>2027</v>
      </c>
      <c r="I413" s="200">
        <f t="shared" ca="1" si="199"/>
        <v>36.027114594978322</v>
      </c>
      <c r="J413" s="200" t="str">
        <f>IF(controle_formulario!$C$39=1,controle_formulario!$C$37,controle_formulario!$C$38)</f>
        <v>Epidemiologico Beneficiarios Saude Suplementar</v>
      </c>
      <c r="K413" s="197" t="s">
        <v>168</v>
      </c>
      <c r="L413" s="197" t="str">
        <f t="shared" si="198"/>
        <v xml:space="preserve"> Conjunto de Tratamentos-Padrão</v>
      </c>
      <c r="M413" s="201" t="e">
        <f>M412</f>
        <v>#REF!</v>
      </c>
      <c r="N413" s="201">
        <f>N412</f>
        <v>0</v>
      </c>
      <c r="O413" s="197" t="s">
        <v>179</v>
      </c>
      <c r="P413" s="197" t="str">
        <f t="shared" si="195"/>
        <v>Taxa de difusão em X anos: XX%</v>
      </c>
      <c r="Q413" s="202">
        <f>'Market Share'!E73</f>
        <v>0</v>
      </c>
      <c r="R413" s="203">
        <f t="shared" ref="R413:S421" ca="1" si="200">R403</f>
        <v>0</v>
      </c>
      <c r="S413" s="204">
        <f t="shared" ca="1" si="200"/>
        <v>-4124866.8092641174</v>
      </c>
    </row>
    <row r="414" spans="1:19" x14ac:dyDescent="0.3">
      <c r="A414" s="198" t="str">
        <f>IF(AND(VALUE(RIGHT(O414,2))&lt;=controle_formulario!$E$16,VALUE(RIGHT(K414,2))&lt;=controle_formulario!$C$10,H414&lt;=Criterios!$C$31+controle_formulario!$I$16-1),"SIM","NÃO")</f>
        <v>NÃO</v>
      </c>
      <c r="B414" s="198">
        <f t="shared" si="186"/>
        <v>0</v>
      </c>
      <c r="C414" s="198" t="str">
        <f t="shared" si="187"/>
        <v>Formrol</v>
      </c>
      <c r="D414" s="179"/>
      <c r="E414" s="198" t="str">
        <f t="shared" si="188"/>
        <v>Planilha 1</v>
      </c>
      <c r="F414" s="198" t="str">
        <f t="shared" si="189"/>
        <v>Geral</v>
      </c>
      <c r="G414" s="198" t="s">
        <v>20</v>
      </c>
      <c r="H414" s="199">
        <f t="shared" si="199"/>
        <v>2028</v>
      </c>
      <c r="I414" s="200">
        <f t="shared" ca="1" si="199"/>
        <v>36.142742272880319</v>
      </c>
      <c r="J414" s="200" t="str">
        <f>IF(controle_formulario!$C$39=1,controle_formulario!$C$37,controle_formulario!$C$38)</f>
        <v>Epidemiologico Beneficiarios Saude Suplementar</v>
      </c>
      <c r="K414" s="197" t="s">
        <v>168</v>
      </c>
      <c r="L414" s="197" t="str">
        <f t="shared" si="198"/>
        <v xml:space="preserve"> Conjunto de Tratamentos-Padrão</v>
      </c>
      <c r="M414" s="201" t="e">
        <f t="shared" ref="M414:N421" si="201">M413</f>
        <v>#REF!</v>
      </c>
      <c r="N414" s="201">
        <f t="shared" si="201"/>
        <v>0</v>
      </c>
      <c r="O414" s="197" t="s">
        <v>179</v>
      </c>
      <c r="P414" s="197" t="str">
        <f t="shared" si="195"/>
        <v>Taxa de difusão em X anos: XX%</v>
      </c>
      <c r="Q414" s="202">
        <f>'Market Share'!E74</f>
        <v>0</v>
      </c>
      <c r="R414" s="203">
        <f t="shared" ca="1" si="200"/>
        <v>0</v>
      </c>
      <c r="S414" s="204">
        <f t="shared" ca="1" si="200"/>
        <v>-4138105.4151356164</v>
      </c>
    </row>
    <row r="415" spans="1:19" x14ac:dyDescent="0.3">
      <c r="A415" s="198" t="str">
        <f>IF(AND(VALUE(RIGHT(O415,2))&lt;=controle_formulario!$E$16,VALUE(RIGHT(K415,2))&lt;=controle_formulario!$C$10,H415&lt;=Criterios!$C$31+controle_formulario!$I$16-1),"SIM","NÃO")</f>
        <v>NÃO</v>
      </c>
      <c r="B415" s="198">
        <f t="shared" si="186"/>
        <v>0</v>
      </c>
      <c r="C415" s="198" t="str">
        <f t="shared" si="187"/>
        <v>Formrol</v>
      </c>
      <c r="D415" s="179"/>
      <c r="E415" s="198" t="str">
        <f t="shared" si="188"/>
        <v>Planilha 1</v>
      </c>
      <c r="F415" s="198" t="str">
        <f t="shared" si="189"/>
        <v>Geral</v>
      </c>
      <c r="G415" s="198" t="s">
        <v>21</v>
      </c>
      <c r="H415" s="199">
        <f t="shared" si="199"/>
        <v>2029</v>
      </c>
      <c r="I415" s="200">
        <f t="shared" ca="1" si="199"/>
        <v>36.250027878529522</v>
      </c>
      <c r="J415" s="200" t="str">
        <f>IF(controle_formulario!$C$39=1,controle_formulario!$C$37,controle_formulario!$C$38)</f>
        <v>Epidemiologico Beneficiarios Saude Suplementar</v>
      </c>
      <c r="K415" s="197" t="s">
        <v>168</v>
      </c>
      <c r="L415" s="197" t="str">
        <f t="shared" si="198"/>
        <v xml:space="preserve"> Conjunto de Tratamentos-Padrão</v>
      </c>
      <c r="M415" s="201" t="e">
        <f t="shared" si="201"/>
        <v>#REF!</v>
      </c>
      <c r="N415" s="201">
        <f t="shared" si="201"/>
        <v>0</v>
      </c>
      <c r="O415" s="197" t="s">
        <v>179</v>
      </c>
      <c r="P415" s="197" t="str">
        <f t="shared" si="195"/>
        <v>Taxa de difusão em X anos: XX%</v>
      </c>
      <c r="Q415" s="202">
        <f>'Market Share'!E75</f>
        <v>0</v>
      </c>
      <c r="R415" s="203">
        <f t="shared" ca="1" si="200"/>
        <v>0</v>
      </c>
      <c r="S415" s="204">
        <f t="shared" ca="1" si="200"/>
        <v>-4150388.9087994657</v>
      </c>
    </row>
    <row r="416" spans="1:19" x14ac:dyDescent="0.3">
      <c r="A416" s="198" t="str">
        <f>IF(AND(VALUE(RIGHT(O416,2))&lt;=controle_formulario!$E$16,VALUE(RIGHT(K416,2))&lt;=controle_formulario!$C$10,H416&lt;=Criterios!$C$31+controle_formulario!$I$16-1),"SIM","NÃO")</f>
        <v>NÃO</v>
      </c>
      <c r="B416" s="198">
        <f t="shared" si="186"/>
        <v>0</v>
      </c>
      <c r="C416" s="198" t="str">
        <f t="shared" si="187"/>
        <v>Formrol</v>
      </c>
      <c r="D416" s="179"/>
      <c r="E416" s="198" t="str">
        <f t="shared" si="188"/>
        <v>Planilha 1</v>
      </c>
      <c r="F416" s="198" t="str">
        <f t="shared" si="189"/>
        <v>Geral</v>
      </c>
      <c r="G416" s="198" t="s">
        <v>22</v>
      </c>
      <c r="H416" s="199">
        <f t="shared" si="199"/>
        <v>2030</v>
      </c>
      <c r="I416" s="200">
        <f t="shared" ca="1" si="199"/>
        <v>36.350592396534239</v>
      </c>
      <c r="J416" s="200" t="str">
        <f>IF(controle_formulario!$C$39=1,controle_formulario!$C$37,controle_formulario!$C$38)</f>
        <v>Epidemiologico Beneficiarios Saude Suplementar</v>
      </c>
      <c r="K416" s="197" t="s">
        <v>168</v>
      </c>
      <c r="L416" s="197" t="str">
        <f t="shared" si="198"/>
        <v xml:space="preserve"> Conjunto de Tratamentos-Padrão</v>
      </c>
      <c r="M416" s="201" t="e">
        <f t="shared" si="201"/>
        <v>#REF!</v>
      </c>
      <c r="N416" s="201">
        <f t="shared" si="201"/>
        <v>0</v>
      </c>
      <c r="O416" s="197" t="s">
        <v>179</v>
      </c>
      <c r="P416" s="197" t="str">
        <f t="shared" si="195"/>
        <v>Taxa de difusão em X anos: XX%</v>
      </c>
      <c r="Q416" s="202">
        <f>'Market Share'!E76</f>
        <v>0</v>
      </c>
      <c r="R416" s="203">
        <f t="shared" ca="1" si="200"/>
        <v>0</v>
      </c>
      <c r="S416" s="204">
        <f t="shared" ca="1" si="200"/>
        <v>-4161902.8822933384</v>
      </c>
    </row>
    <row r="417" spans="1:19" x14ac:dyDescent="0.3">
      <c r="A417" s="198" t="str">
        <f>IF(AND(VALUE(RIGHT(O417,2))&lt;=controle_formulario!$E$16,VALUE(RIGHT(K417,2))&lt;=controle_formulario!$C$10,H417&lt;=Criterios!$C$31+controle_formulario!$I$16-1),"SIM","NÃO")</f>
        <v>NÃO</v>
      </c>
      <c r="B417" s="198">
        <f t="shared" si="186"/>
        <v>0</v>
      </c>
      <c r="C417" s="198" t="str">
        <f t="shared" si="187"/>
        <v>Formrol</v>
      </c>
      <c r="D417" s="179"/>
      <c r="E417" s="198" t="str">
        <f t="shared" si="188"/>
        <v>Planilha 1</v>
      </c>
      <c r="F417" s="198" t="str">
        <f t="shared" si="189"/>
        <v>Geral</v>
      </c>
      <c r="G417" s="198" t="s">
        <v>23</v>
      </c>
      <c r="H417" s="199">
        <f t="shared" si="199"/>
        <v>2031</v>
      </c>
      <c r="I417" s="200">
        <f t="shared" si="199"/>
        <v>0</v>
      </c>
      <c r="J417" s="200" t="str">
        <f>IF(controle_formulario!$C$39=1,controle_formulario!$C$37,controle_formulario!$C$38)</f>
        <v>Epidemiologico Beneficiarios Saude Suplementar</v>
      </c>
      <c r="K417" s="197" t="s">
        <v>168</v>
      </c>
      <c r="L417" s="197" t="str">
        <f t="shared" si="198"/>
        <v xml:space="preserve"> Conjunto de Tratamentos-Padrão</v>
      </c>
      <c r="M417" s="201" t="e">
        <f t="shared" si="201"/>
        <v>#REF!</v>
      </c>
      <c r="N417" s="201">
        <f t="shared" si="201"/>
        <v>0</v>
      </c>
      <c r="O417" s="197" t="s">
        <v>179</v>
      </c>
      <c r="P417" s="197" t="str">
        <f t="shared" si="195"/>
        <v>Taxa de difusão em X anos: XX%</v>
      </c>
      <c r="Q417" s="202">
        <f>'Market Share'!E77</f>
        <v>0</v>
      </c>
      <c r="R417" s="203">
        <f t="shared" ca="1" si="200"/>
        <v>0</v>
      </c>
      <c r="S417" s="204">
        <f t="shared" ca="1" si="200"/>
        <v>0</v>
      </c>
    </row>
    <row r="418" spans="1:19" x14ac:dyDescent="0.3">
      <c r="A418" s="198" t="str">
        <f>IF(AND(VALUE(RIGHT(O418,2))&lt;=controle_formulario!$E$16,VALUE(RIGHT(K418,2))&lt;=controle_formulario!$C$10,H418&lt;=Criterios!$C$31+controle_formulario!$I$16-1),"SIM","NÃO")</f>
        <v>NÃO</v>
      </c>
      <c r="B418" s="198">
        <f t="shared" si="186"/>
        <v>0</v>
      </c>
      <c r="C418" s="198" t="str">
        <f t="shared" si="187"/>
        <v>Formrol</v>
      </c>
      <c r="D418" s="179"/>
      <c r="E418" s="198" t="str">
        <f t="shared" si="188"/>
        <v>Planilha 1</v>
      </c>
      <c r="F418" s="198" t="str">
        <f t="shared" si="189"/>
        <v>Geral</v>
      </c>
      <c r="G418" s="198" t="s">
        <v>24</v>
      </c>
      <c r="H418" s="199">
        <f t="shared" si="199"/>
        <v>2032</v>
      </c>
      <c r="I418" s="200">
        <f t="shared" si="199"/>
        <v>0</v>
      </c>
      <c r="J418" s="200" t="str">
        <f>IF(controle_formulario!$C$39=1,controle_formulario!$C$37,controle_formulario!$C$38)</f>
        <v>Epidemiologico Beneficiarios Saude Suplementar</v>
      </c>
      <c r="K418" s="197" t="s">
        <v>168</v>
      </c>
      <c r="L418" s="197" t="str">
        <f t="shared" si="198"/>
        <v xml:space="preserve"> Conjunto de Tratamentos-Padrão</v>
      </c>
      <c r="M418" s="201" t="e">
        <f t="shared" si="201"/>
        <v>#REF!</v>
      </c>
      <c r="N418" s="201">
        <f t="shared" si="201"/>
        <v>0</v>
      </c>
      <c r="O418" s="197" t="s">
        <v>179</v>
      </c>
      <c r="P418" s="197" t="str">
        <f t="shared" si="195"/>
        <v>Taxa de difusão em X anos: XX%</v>
      </c>
      <c r="Q418" s="202">
        <f>'Market Share'!E78</f>
        <v>0</v>
      </c>
      <c r="R418" s="203">
        <f t="shared" ca="1" si="200"/>
        <v>0</v>
      </c>
      <c r="S418" s="204">
        <f t="shared" ca="1" si="200"/>
        <v>0</v>
      </c>
    </row>
    <row r="419" spans="1:19" x14ac:dyDescent="0.3">
      <c r="A419" s="198" t="str">
        <f>IF(AND(VALUE(RIGHT(O419,2))&lt;=controle_formulario!$E$16,VALUE(RIGHT(K419,2))&lt;=controle_formulario!$C$10,H419&lt;=Criterios!$C$31+controle_formulario!$I$16-1),"SIM","NÃO")</f>
        <v>NÃO</v>
      </c>
      <c r="B419" s="198">
        <f t="shared" si="186"/>
        <v>0</v>
      </c>
      <c r="C419" s="198" t="str">
        <f t="shared" si="187"/>
        <v>Formrol</v>
      </c>
      <c r="D419" s="179"/>
      <c r="E419" s="198" t="str">
        <f t="shared" si="188"/>
        <v>Planilha 1</v>
      </c>
      <c r="F419" s="198" t="str">
        <f t="shared" si="189"/>
        <v>Geral</v>
      </c>
      <c r="G419" s="198" t="s">
        <v>25</v>
      </c>
      <c r="H419" s="199">
        <f t="shared" si="199"/>
        <v>2033</v>
      </c>
      <c r="I419" s="200">
        <f t="shared" si="199"/>
        <v>0</v>
      </c>
      <c r="J419" s="200" t="str">
        <f>IF(controle_formulario!$C$39=1,controle_formulario!$C$37,controle_formulario!$C$38)</f>
        <v>Epidemiologico Beneficiarios Saude Suplementar</v>
      </c>
      <c r="K419" s="197" t="s">
        <v>168</v>
      </c>
      <c r="L419" s="197" t="str">
        <f t="shared" si="198"/>
        <v xml:space="preserve"> Conjunto de Tratamentos-Padrão</v>
      </c>
      <c r="M419" s="201" t="e">
        <f t="shared" si="201"/>
        <v>#REF!</v>
      </c>
      <c r="N419" s="201">
        <f t="shared" si="201"/>
        <v>0</v>
      </c>
      <c r="O419" s="197" t="s">
        <v>179</v>
      </c>
      <c r="P419" s="197" t="str">
        <f t="shared" si="195"/>
        <v>Taxa de difusão em X anos: XX%</v>
      </c>
      <c r="Q419" s="202">
        <f>'Market Share'!E79</f>
        <v>0</v>
      </c>
      <c r="R419" s="203">
        <f t="shared" ca="1" si="200"/>
        <v>0</v>
      </c>
      <c r="S419" s="204">
        <f t="shared" ca="1" si="200"/>
        <v>0</v>
      </c>
    </row>
    <row r="420" spans="1:19" x14ac:dyDescent="0.3">
      <c r="A420" s="198" t="str">
        <f>IF(AND(VALUE(RIGHT(O420,2))&lt;=controle_formulario!$E$16,VALUE(RIGHT(K420,2))&lt;=controle_formulario!$C$10,H420&lt;=Criterios!$C$31+controle_formulario!$I$16-1),"SIM","NÃO")</f>
        <v>NÃO</v>
      </c>
      <c r="B420" s="198">
        <f t="shared" si="186"/>
        <v>0</v>
      </c>
      <c r="C420" s="198" t="str">
        <f t="shared" si="187"/>
        <v>Formrol</v>
      </c>
      <c r="D420" s="179"/>
      <c r="E420" s="198" t="str">
        <f t="shared" si="188"/>
        <v>Planilha 1</v>
      </c>
      <c r="F420" s="198" t="str">
        <f t="shared" si="189"/>
        <v>Geral</v>
      </c>
      <c r="G420" s="198" t="s">
        <v>26</v>
      </c>
      <c r="H420" s="199">
        <f t="shared" si="199"/>
        <v>2034</v>
      </c>
      <c r="I420" s="200">
        <f t="shared" si="199"/>
        <v>0</v>
      </c>
      <c r="J420" s="200" t="str">
        <f>IF(controle_formulario!$C$39=1,controle_formulario!$C$37,controle_formulario!$C$38)</f>
        <v>Epidemiologico Beneficiarios Saude Suplementar</v>
      </c>
      <c r="K420" s="197" t="s">
        <v>168</v>
      </c>
      <c r="L420" s="197" t="str">
        <f t="shared" si="198"/>
        <v xml:space="preserve"> Conjunto de Tratamentos-Padrão</v>
      </c>
      <c r="M420" s="201" t="e">
        <f t="shared" si="201"/>
        <v>#REF!</v>
      </c>
      <c r="N420" s="201">
        <f t="shared" si="201"/>
        <v>0</v>
      </c>
      <c r="O420" s="197" t="s">
        <v>179</v>
      </c>
      <c r="P420" s="197" t="str">
        <f t="shared" si="195"/>
        <v>Taxa de difusão em X anos: XX%</v>
      </c>
      <c r="Q420" s="202">
        <f>'Market Share'!E80</f>
        <v>0</v>
      </c>
      <c r="R420" s="203">
        <f t="shared" ca="1" si="200"/>
        <v>0</v>
      </c>
      <c r="S420" s="204">
        <f t="shared" ca="1" si="200"/>
        <v>0</v>
      </c>
    </row>
    <row r="421" spans="1:19" ht="15" thickBot="1" x14ac:dyDescent="0.35">
      <c r="A421" s="205" t="str">
        <f>IF(AND(VALUE(RIGHT(O421,2))&lt;=controle_formulario!$E$16,VALUE(RIGHT(K421,2))&lt;=controle_formulario!$C$10,H421&lt;=Criterios!$C$31+controle_formulario!$I$16-1),"SIM","NÃO")</f>
        <v>NÃO</v>
      </c>
      <c r="B421" s="205">
        <f t="shared" si="186"/>
        <v>0</v>
      </c>
      <c r="C421" s="205" t="str">
        <f t="shared" si="187"/>
        <v>Formrol</v>
      </c>
      <c r="D421" s="180"/>
      <c r="E421" s="205" t="str">
        <f t="shared" si="188"/>
        <v>Planilha 1</v>
      </c>
      <c r="F421" s="205" t="str">
        <f t="shared" si="189"/>
        <v>Geral</v>
      </c>
      <c r="G421" s="205" t="s">
        <v>27</v>
      </c>
      <c r="H421" s="212">
        <f t="shared" si="199"/>
        <v>2035</v>
      </c>
      <c r="I421" s="213">
        <f t="shared" si="199"/>
        <v>0</v>
      </c>
      <c r="J421" s="207" t="str">
        <f>IF(controle_formulario!$C$39=1,controle_formulario!$C$37,controle_formulario!$C$38)</f>
        <v>Epidemiologico Beneficiarios Saude Suplementar</v>
      </c>
      <c r="K421" s="208" t="s">
        <v>168</v>
      </c>
      <c r="L421" s="208" t="str">
        <f t="shared" si="198"/>
        <v xml:space="preserve"> Conjunto de Tratamentos-Padrão</v>
      </c>
      <c r="M421" s="201" t="e">
        <f t="shared" si="201"/>
        <v>#REF!</v>
      </c>
      <c r="N421" s="201">
        <f t="shared" si="201"/>
        <v>0</v>
      </c>
      <c r="O421" s="214" t="s">
        <v>179</v>
      </c>
      <c r="P421" s="214" t="str">
        <f t="shared" si="195"/>
        <v>Taxa de difusão em X anos: XX%</v>
      </c>
      <c r="Q421" s="209">
        <f>'Market Share'!E81</f>
        <v>0</v>
      </c>
      <c r="R421" s="216">
        <f t="shared" ca="1" si="200"/>
        <v>0</v>
      </c>
      <c r="S421" s="217">
        <f t="shared" ca="1" si="200"/>
        <v>0</v>
      </c>
    </row>
    <row r="422" spans="1:19" x14ac:dyDescent="0.3">
      <c r="A422" s="189" t="str">
        <f>IF(AND(VALUE(RIGHT(O422,2))&lt;=controle_formulario!$E$16,VALUE(RIGHT(K422,2))&lt;=controle_formulario!$C$10,H422&lt;=Criterios!$C$31+controle_formulario!$I$16-1),"SIM","NÃO")</f>
        <v>NÃO</v>
      </c>
      <c r="B422" s="189">
        <f t="shared" si="186"/>
        <v>0</v>
      </c>
      <c r="C422" s="189" t="str">
        <f t="shared" si="187"/>
        <v>Formrol</v>
      </c>
      <c r="D422" s="177"/>
      <c r="E422" s="189" t="str">
        <f t="shared" si="188"/>
        <v>Planilha 1</v>
      </c>
      <c r="F422" s="189" t="str">
        <f t="shared" si="189"/>
        <v>Geral</v>
      </c>
      <c r="G422" s="189" t="s">
        <v>18</v>
      </c>
      <c r="H422" s="190">
        <f>H412</f>
        <v>2026</v>
      </c>
      <c r="I422" s="191">
        <f ca="1">I412</f>
        <v>35.902021176061034</v>
      </c>
      <c r="J422" s="191" t="str">
        <f>IF(controle_formulario!$C$39=1,controle_formulario!$C$37,controle_formulario!$C$38)</f>
        <v>Epidemiologico Beneficiarios Saude Suplementar</v>
      </c>
      <c r="K422" s="192" t="s">
        <v>169</v>
      </c>
      <c r="L422" s="192">
        <f t="shared" ref="L422:L431" si="202">trat.b</f>
        <v>0</v>
      </c>
      <c r="M422" s="193">
        <f>Resumo!$D$40</f>
        <v>0</v>
      </c>
      <c r="N422" s="193">
        <f>Resumo!$D$49</f>
        <v>0</v>
      </c>
      <c r="O422" s="192" t="s">
        <v>179</v>
      </c>
      <c r="P422" s="192" t="str">
        <f t="shared" si="195"/>
        <v>Taxa de difusão em X anos: XX%</v>
      </c>
      <c r="Q422" s="194">
        <f>'Market Share'!F72</f>
        <v>0</v>
      </c>
      <c r="R422" s="195">
        <f ca="1">R412</f>
        <v>0</v>
      </c>
      <c r="S422" s="196">
        <f ca="1">S412</f>
        <v>-4110544.4385289042</v>
      </c>
    </row>
    <row r="423" spans="1:19" x14ac:dyDescent="0.3">
      <c r="A423" s="198" t="str">
        <f>IF(AND(VALUE(RIGHT(O423,2))&lt;=controle_formulario!$E$16,VALUE(RIGHT(K423,2))&lt;=controle_formulario!$C$10,H423&lt;=Criterios!$C$31+controle_formulario!$I$16-1),"SIM","NÃO")</f>
        <v>NÃO</v>
      </c>
      <c r="B423" s="198">
        <f t="shared" si="186"/>
        <v>0</v>
      </c>
      <c r="C423" s="198" t="str">
        <f t="shared" si="187"/>
        <v>Formrol</v>
      </c>
      <c r="D423" s="179"/>
      <c r="E423" s="198" t="str">
        <f t="shared" si="188"/>
        <v>Planilha 1</v>
      </c>
      <c r="F423" s="198" t="str">
        <f t="shared" si="189"/>
        <v>Geral</v>
      </c>
      <c r="G423" s="198" t="s">
        <v>19</v>
      </c>
      <c r="H423" s="199">
        <f t="shared" ref="H423:I431" si="203">H413</f>
        <v>2027</v>
      </c>
      <c r="I423" s="200">
        <f t="shared" ca="1" si="203"/>
        <v>36.027114594978322</v>
      </c>
      <c r="J423" s="200" t="str">
        <f>IF(controle_formulario!$C$39=1,controle_formulario!$C$37,controle_formulario!$C$38)</f>
        <v>Epidemiologico Beneficiarios Saude Suplementar</v>
      </c>
      <c r="K423" s="197" t="s">
        <v>169</v>
      </c>
      <c r="L423" s="197">
        <f t="shared" si="202"/>
        <v>0</v>
      </c>
      <c r="M423" s="201">
        <f>M422</f>
        <v>0</v>
      </c>
      <c r="N423" s="201">
        <f>N422</f>
        <v>0</v>
      </c>
      <c r="O423" s="197" t="s">
        <v>179</v>
      </c>
      <c r="P423" s="197" t="str">
        <f t="shared" si="195"/>
        <v>Taxa de difusão em X anos: XX%</v>
      </c>
      <c r="Q423" s="202">
        <f>'Market Share'!F73</f>
        <v>0</v>
      </c>
      <c r="R423" s="203">
        <f t="shared" ref="R423:S431" ca="1" si="204">R413</f>
        <v>0</v>
      </c>
      <c r="S423" s="204">
        <f t="shared" ca="1" si="204"/>
        <v>-4124866.8092641174</v>
      </c>
    </row>
    <row r="424" spans="1:19" x14ac:dyDescent="0.3">
      <c r="A424" s="198" t="str">
        <f>IF(AND(VALUE(RIGHT(O424,2))&lt;=controle_formulario!$E$16,VALUE(RIGHT(K424,2))&lt;=controle_formulario!$C$10,H424&lt;=Criterios!$C$31+controle_formulario!$I$16-1),"SIM","NÃO")</f>
        <v>NÃO</v>
      </c>
      <c r="B424" s="198">
        <f t="shared" si="186"/>
        <v>0</v>
      </c>
      <c r="C424" s="198" t="str">
        <f t="shared" si="187"/>
        <v>Formrol</v>
      </c>
      <c r="D424" s="179"/>
      <c r="E424" s="198" t="str">
        <f t="shared" si="188"/>
        <v>Planilha 1</v>
      </c>
      <c r="F424" s="198" t="str">
        <f t="shared" si="189"/>
        <v>Geral</v>
      </c>
      <c r="G424" s="198" t="s">
        <v>20</v>
      </c>
      <c r="H424" s="199">
        <f t="shared" si="203"/>
        <v>2028</v>
      </c>
      <c r="I424" s="200">
        <f t="shared" ca="1" si="203"/>
        <v>36.142742272880319</v>
      </c>
      <c r="J424" s="200" t="str">
        <f>IF(controle_formulario!$C$39=1,controle_formulario!$C$37,controle_formulario!$C$38)</f>
        <v>Epidemiologico Beneficiarios Saude Suplementar</v>
      </c>
      <c r="K424" s="197" t="s">
        <v>169</v>
      </c>
      <c r="L424" s="197">
        <f t="shared" si="202"/>
        <v>0</v>
      </c>
      <c r="M424" s="201">
        <f t="shared" ref="M424:N431" si="205">M423</f>
        <v>0</v>
      </c>
      <c r="N424" s="201">
        <f t="shared" si="205"/>
        <v>0</v>
      </c>
      <c r="O424" s="197" t="s">
        <v>179</v>
      </c>
      <c r="P424" s="197" t="str">
        <f t="shared" si="195"/>
        <v>Taxa de difusão em X anos: XX%</v>
      </c>
      <c r="Q424" s="202">
        <f>'Market Share'!F74</f>
        <v>0</v>
      </c>
      <c r="R424" s="203">
        <f t="shared" ca="1" si="204"/>
        <v>0</v>
      </c>
      <c r="S424" s="204">
        <f t="shared" ca="1" si="204"/>
        <v>-4138105.4151356164</v>
      </c>
    </row>
    <row r="425" spans="1:19" x14ac:dyDescent="0.3">
      <c r="A425" s="198" t="str">
        <f>IF(AND(VALUE(RIGHT(O425,2))&lt;=controle_formulario!$E$16,VALUE(RIGHT(K425,2))&lt;=controle_formulario!$C$10,H425&lt;=Criterios!$C$31+controle_formulario!$I$16-1),"SIM","NÃO")</f>
        <v>NÃO</v>
      </c>
      <c r="B425" s="198">
        <f t="shared" si="186"/>
        <v>0</v>
      </c>
      <c r="C425" s="198" t="str">
        <f t="shared" si="187"/>
        <v>Formrol</v>
      </c>
      <c r="D425" s="179"/>
      <c r="E425" s="198" t="str">
        <f t="shared" si="188"/>
        <v>Planilha 1</v>
      </c>
      <c r="F425" s="198" t="str">
        <f t="shared" si="189"/>
        <v>Geral</v>
      </c>
      <c r="G425" s="198" t="s">
        <v>21</v>
      </c>
      <c r="H425" s="199">
        <f t="shared" si="203"/>
        <v>2029</v>
      </c>
      <c r="I425" s="200">
        <f t="shared" ca="1" si="203"/>
        <v>36.250027878529522</v>
      </c>
      <c r="J425" s="200" t="str">
        <f>IF(controle_formulario!$C$39=1,controle_formulario!$C$37,controle_formulario!$C$38)</f>
        <v>Epidemiologico Beneficiarios Saude Suplementar</v>
      </c>
      <c r="K425" s="197" t="s">
        <v>169</v>
      </c>
      <c r="L425" s="197">
        <f t="shared" si="202"/>
        <v>0</v>
      </c>
      <c r="M425" s="201">
        <f t="shared" si="205"/>
        <v>0</v>
      </c>
      <c r="N425" s="201">
        <f t="shared" si="205"/>
        <v>0</v>
      </c>
      <c r="O425" s="197" t="s">
        <v>179</v>
      </c>
      <c r="P425" s="197" t="str">
        <f t="shared" si="195"/>
        <v>Taxa de difusão em X anos: XX%</v>
      </c>
      <c r="Q425" s="202">
        <f>'Market Share'!F75</f>
        <v>0</v>
      </c>
      <c r="R425" s="203">
        <f t="shared" ca="1" si="204"/>
        <v>0</v>
      </c>
      <c r="S425" s="204">
        <f t="shared" ca="1" si="204"/>
        <v>-4150388.9087994657</v>
      </c>
    </row>
    <row r="426" spans="1:19" x14ac:dyDescent="0.3">
      <c r="A426" s="198" t="str">
        <f>IF(AND(VALUE(RIGHT(O426,2))&lt;=controle_formulario!$E$16,VALUE(RIGHT(K426,2))&lt;=controle_formulario!$C$10,H426&lt;=Criterios!$C$31+controle_formulario!$I$16-1),"SIM","NÃO")</f>
        <v>NÃO</v>
      </c>
      <c r="B426" s="198">
        <f t="shared" si="186"/>
        <v>0</v>
      </c>
      <c r="C426" s="198" t="str">
        <f t="shared" si="187"/>
        <v>Formrol</v>
      </c>
      <c r="D426" s="179"/>
      <c r="E426" s="198" t="str">
        <f t="shared" si="188"/>
        <v>Planilha 1</v>
      </c>
      <c r="F426" s="198" t="str">
        <f t="shared" si="189"/>
        <v>Geral</v>
      </c>
      <c r="G426" s="198" t="s">
        <v>22</v>
      </c>
      <c r="H426" s="199">
        <f t="shared" si="203"/>
        <v>2030</v>
      </c>
      <c r="I426" s="200">
        <f t="shared" ca="1" si="203"/>
        <v>36.350592396534239</v>
      </c>
      <c r="J426" s="200" t="str">
        <f>IF(controle_formulario!$C$39=1,controle_formulario!$C$37,controle_formulario!$C$38)</f>
        <v>Epidemiologico Beneficiarios Saude Suplementar</v>
      </c>
      <c r="K426" s="197" t="s">
        <v>169</v>
      </c>
      <c r="L426" s="197">
        <f t="shared" si="202"/>
        <v>0</v>
      </c>
      <c r="M426" s="201">
        <f t="shared" si="205"/>
        <v>0</v>
      </c>
      <c r="N426" s="201">
        <f t="shared" si="205"/>
        <v>0</v>
      </c>
      <c r="O426" s="197" t="s">
        <v>179</v>
      </c>
      <c r="P426" s="197" t="str">
        <f t="shared" si="195"/>
        <v>Taxa de difusão em X anos: XX%</v>
      </c>
      <c r="Q426" s="202">
        <f>'Market Share'!F76</f>
        <v>0</v>
      </c>
      <c r="R426" s="203">
        <f t="shared" ca="1" si="204"/>
        <v>0</v>
      </c>
      <c r="S426" s="204">
        <f t="shared" ca="1" si="204"/>
        <v>-4161902.8822933384</v>
      </c>
    </row>
    <row r="427" spans="1:19" x14ac:dyDescent="0.3">
      <c r="A427" s="198" t="str">
        <f>IF(AND(VALUE(RIGHT(O427,2))&lt;=controle_formulario!$E$16,VALUE(RIGHT(K427,2))&lt;=controle_formulario!$C$10,H427&lt;=Criterios!$C$31+controle_formulario!$I$16-1),"SIM","NÃO")</f>
        <v>NÃO</v>
      </c>
      <c r="B427" s="198">
        <f t="shared" si="186"/>
        <v>0</v>
      </c>
      <c r="C427" s="198" t="str">
        <f t="shared" si="187"/>
        <v>Formrol</v>
      </c>
      <c r="D427" s="179"/>
      <c r="E427" s="198" t="str">
        <f t="shared" si="188"/>
        <v>Planilha 1</v>
      </c>
      <c r="F427" s="198" t="str">
        <f t="shared" si="189"/>
        <v>Geral</v>
      </c>
      <c r="G427" s="198" t="s">
        <v>23</v>
      </c>
      <c r="H427" s="199">
        <f t="shared" si="203"/>
        <v>2031</v>
      </c>
      <c r="I427" s="200">
        <f t="shared" si="203"/>
        <v>0</v>
      </c>
      <c r="J427" s="200" t="str">
        <f>IF(controle_formulario!$C$39=1,controle_formulario!$C$37,controle_formulario!$C$38)</f>
        <v>Epidemiologico Beneficiarios Saude Suplementar</v>
      </c>
      <c r="K427" s="197" t="s">
        <v>169</v>
      </c>
      <c r="L427" s="197">
        <f t="shared" si="202"/>
        <v>0</v>
      </c>
      <c r="M427" s="201">
        <f t="shared" si="205"/>
        <v>0</v>
      </c>
      <c r="N427" s="201">
        <f t="shared" si="205"/>
        <v>0</v>
      </c>
      <c r="O427" s="197" t="s">
        <v>179</v>
      </c>
      <c r="P427" s="197" t="str">
        <f t="shared" si="195"/>
        <v>Taxa de difusão em X anos: XX%</v>
      </c>
      <c r="Q427" s="202">
        <f>'Market Share'!F77</f>
        <v>0</v>
      </c>
      <c r="R427" s="203">
        <f t="shared" ca="1" si="204"/>
        <v>0</v>
      </c>
      <c r="S427" s="204">
        <f t="shared" ca="1" si="204"/>
        <v>0</v>
      </c>
    </row>
    <row r="428" spans="1:19" x14ac:dyDescent="0.3">
      <c r="A428" s="198" t="str">
        <f>IF(AND(VALUE(RIGHT(O428,2))&lt;=controle_formulario!$E$16,VALUE(RIGHT(K428,2))&lt;=controle_formulario!$C$10,H428&lt;=Criterios!$C$31+controle_formulario!$I$16-1),"SIM","NÃO")</f>
        <v>NÃO</v>
      </c>
      <c r="B428" s="198">
        <f t="shared" si="186"/>
        <v>0</v>
      </c>
      <c r="C428" s="198" t="str">
        <f t="shared" si="187"/>
        <v>Formrol</v>
      </c>
      <c r="D428" s="179"/>
      <c r="E428" s="198" t="str">
        <f t="shared" si="188"/>
        <v>Planilha 1</v>
      </c>
      <c r="F428" s="198" t="str">
        <f t="shared" si="189"/>
        <v>Geral</v>
      </c>
      <c r="G428" s="198" t="s">
        <v>24</v>
      </c>
      <c r="H428" s="199">
        <f t="shared" si="203"/>
        <v>2032</v>
      </c>
      <c r="I428" s="200">
        <f t="shared" si="203"/>
        <v>0</v>
      </c>
      <c r="J428" s="200" t="str">
        <f>IF(controle_formulario!$C$39=1,controle_formulario!$C$37,controle_formulario!$C$38)</f>
        <v>Epidemiologico Beneficiarios Saude Suplementar</v>
      </c>
      <c r="K428" s="197" t="s">
        <v>169</v>
      </c>
      <c r="L428" s="197">
        <f t="shared" si="202"/>
        <v>0</v>
      </c>
      <c r="M428" s="201">
        <f t="shared" si="205"/>
        <v>0</v>
      </c>
      <c r="N428" s="201">
        <f t="shared" si="205"/>
        <v>0</v>
      </c>
      <c r="O428" s="197" t="s">
        <v>179</v>
      </c>
      <c r="P428" s="197" t="str">
        <f t="shared" si="195"/>
        <v>Taxa de difusão em X anos: XX%</v>
      </c>
      <c r="Q428" s="202">
        <f>'Market Share'!F78</f>
        <v>0</v>
      </c>
      <c r="R428" s="203">
        <f t="shared" ca="1" si="204"/>
        <v>0</v>
      </c>
      <c r="S428" s="204">
        <f t="shared" ca="1" si="204"/>
        <v>0</v>
      </c>
    </row>
    <row r="429" spans="1:19" x14ac:dyDescent="0.3">
      <c r="A429" s="198" t="str">
        <f>IF(AND(VALUE(RIGHT(O429,2))&lt;=controle_formulario!$E$16,VALUE(RIGHT(K429,2))&lt;=controle_formulario!$C$10,H429&lt;=Criterios!$C$31+controle_formulario!$I$16-1),"SIM","NÃO")</f>
        <v>NÃO</v>
      </c>
      <c r="B429" s="198">
        <f t="shared" si="186"/>
        <v>0</v>
      </c>
      <c r="C429" s="198" t="str">
        <f t="shared" si="187"/>
        <v>Formrol</v>
      </c>
      <c r="D429" s="179"/>
      <c r="E429" s="198" t="str">
        <f t="shared" si="188"/>
        <v>Planilha 1</v>
      </c>
      <c r="F429" s="198" t="str">
        <f t="shared" si="189"/>
        <v>Geral</v>
      </c>
      <c r="G429" s="198" t="s">
        <v>25</v>
      </c>
      <c r="H429" s="199">
        <f t="shared" si="203"/>
        <v>2033</v>
      </c>
      <c r="I429" s="200">
        <f t="shared" si="203"/>
        <v>0</v>
      </c>
      <c r="J429" s="200" t="str">
        <f>IF(controle_formulario!$C$39=1,controle_formulario!$C$37,controle_formulario!$C$38)</f>
        <v>Epidemiologico Beneficiarios Saude Suplementar</v>
      </c>
      <c r="K429" s="197" t="s">
        <v>169</v>
      </c>
      <c r="L429" s="197">
        <f t="shared" si="202"/>
        <v>0</v>
      </c>
      <c r="M429" s="201">
        <f t="shared" si="205"/>
        <v>0</v>
      </c>
      <c r="N429" s="201">
        <f t="shared" si="205"/>
        <v>0</v>
      </c>
      <c r="O429" s="197" t="s">
        <v>179</v>
      </c>
      <c r="P429" s="197" t="str">
        <f t="shared" si="195"/>
        <v>Taxa de difusão em X anos: XX%</v>
      </c>
      <c r="Q429" s="202">
        <f>'Market Share'!F79</f>
        <v>0</v>
      </c>
      <c r="R429" s="203">
        <f t="shared" ca="1" si="204"/>
        <v>0</v>
      </c>
      <c r="S429" s="204">
        <f t="shared" ca="1" si="204"/>
        <v>0</v>
      </c>
    </row>
    <row r="430" spans="1:19" x14ac:dyDescent="0.3">
      <c r="A430" s="198" t="str">
        <f>IF(AND(VALUE(RIGHT(O430,2))&lt;=controle_formulario!$E$16,VALUE(RIGHT(K430,2))&lt;=controle_formulario!$C$10,H430&lt;=Criterios!$C$31+controle_formulario!$I$16-1),"SIM","NÃO")</f>
        <v>NÃO</v>
      </c>
      <c r="B430" s="198">
        <f t="shared" si="186"/>
        <v>0</v>
      </c>
      <c r="C430" s="198" t="str">
        <f t="shared" si="187"/>
        <v>Formrol</v>
      </c>
      <c r="D430" s="179"/>
      <c r="E430" s="198" t="str">
        <f t="shared" si="188"/>
        <v>Planilha 1</v>
      </c>
      <c r="F430" s="198" t="str">
        <f t="shared" si="189"/>
        <v>Geral</v>
      </c>
      <c r="G430" s="198" t="s">
        <v>26</v>
      </c>
      <c r="H430" s="199">
        <f t="shared" si="203"/>
        <v>2034</v>
      </c>
      <c r="I430" s="200">
        <f t="shared" si="203"/>
        <v>0</v>
      </c>
      <c r="J430" s="200" t="str">
        <f>IF(controle_formulario!$C$39=1,controle_formulario!$C$37,controle_formulario!$C$38)</f>
        <v>Epidemiologico Beneficiarios Saude Suplementar</v>
      </c>
      <c r="K430" s="197" t="s">
        <v>169</v>
      </c>
      <c r="L430" s="197">
        <f t="shared" si="202"/>
        <v>0</v>
      </c>
      <c r="M430" s="201">
        <f t="shared" si="205"/>
        <v>0</v>
      </c>
      <c r="N430" s="201">
        <f t="shared" si="205"/>
        <v>0</v>
      </c>
      <c r="O430" s="197" t="s">
        <v>179</v>
      </c>
      <c r="P430" s="197" t="str">
        <f t="shared" si="195"/>
        <v>Taxa de difusão em X anos: XX%</v>
      </c>
      <c r="Q430" s="202">
        <f>'Market Share'!F80</f>
        <v>0</v>
      </c>
      <c r="R430" s="203">
        <f t="shared" ca="1" si="204"/>
        <v>0</v>
      </c>
      <c r="S430" s="204">
        <f t="shared" ca="1" si="204"/>
        <v>0</v>
      </c>
    </row>
    <row r="431" spans="1:19" ht="15" thickBot="1" x14ac:dyDescent="0.35">
      <c r="A431" s="205" t="str">
        <f>IF(AND(VALUE(RIGHT(O431,2))&lt;=controle_formulario!$E$16,VALUE(RIGHT(K431,2))&lt;=controle_formulario!$C$10,H431&lt;=Criterios!$C$31+controle_formulario!$I$16-1),"SIM","NÃO")</f>
        <v>NÃO</v>
      </c>
      <c r="B431" s="205">
        <f t="shared" si="186"/>
        <v>0</v>
      </c>
      <c r="C431" s="205" t="str">
        <f t="shared" si="187"/>
        <v>Formrol</v>
      </c>
      <c r="D431" s="180"/>
      <c r="E431" s="205" t="str">
        <f t="shared" si="188"/>
        <v>Planilha 1</v>
      </c>
      <c r="F431" s="205" t="str">
        <f t="shared" si="189"/>
        <v>Geral</v>
      </c>
      <c r="G431" s="205" t="s">
        <v>27</v>
      </c>
      <c r="H431" s="212">
        <f t="shared" si="203"/>
        <v>2035</v>
      </c>
      <c r="I431" s="213">
        <f t="shared" si="203"/>
        <v>0</v>
      </c>
      <c r="J431" s="207" t="str">
        <f>IF(controle_formulario!$C$39=1,controle_formulario!$C$37,controle_formulario!$C$38)</f>
        <v>Epidemiologico Beneficiarios Saude Suplementar</v>
      </c>
      <c r="K431" s="208" t="s">
        <v>169</v>
      </c>
      <c r="L431" s="208">
        <f t="shared" si="202"/>
        <v>0</v>
      </c>
      <c r="M431" s="201">
        <f t="shared" si="205"/>
        <v>0</v>
      </c>
      <c r="N431" s="201">
        <f t="shared" si="205"/>
        <v>0</v>
      </c>
      <c r="O431" s="214" t="s">
        <v>179</v>
      </c>
      <c r="P431" s="214" t="str">
        <f t="shared" si="195"/>
        <v>Taxa de difusão em X anos: XX%</v>
      </c>
      <c r="Q431" s="209">
        <f>'Market Share'!F81</f>
        <v>0</v>
      </c>
      <c r="R431" s="216">
        <f t="shared" ca="1" si="204"/>
        <v>0</v>
      </c>
      <c r="S431" s="217">
        <f t="shared" ca="1" si="204"/>
        <v>0</v>
      </c>
    </row>
    <row r="432" spans="1:19" x14ac:dyDescent="0.3">
      <c r="A432" s="189" t="str">
        <f>IF(AND(VALUE(RIGHT(O432,2))&lt;=controle_formulario!$E$16,VALUE(RIGHT(K432,2))&lt;=controle_formulario!$C$10,H432&lt;=Criterios!$C$31+controle_formulario!$I$16-1),"SIM","NÃO")</f>
        <v>NÃO</v>
      </c>
      <c r="B432" s="189">
        <f t="shared" si="186"/>
        <v>0</v>
      </c>
      <c r="C432" s="189" t="str">
        <f t="shared" si="187"/>
        <v>Formrol</v>
      </c>
      <c r="D432" s="177"/>
      <c r="E432" s="189" t="str">
        <f t="shared" si="188"/>
        <v>Planilha 1</v>
      </c>
      <c r="F432" s="189" t="str">
        <f t="shared" si="189"/>
        <v>Geral</v>
      </c>
      <c r="G432" s="189" t="s">
        <v>18</v>
      </c>
      <c r="H432" s="190">
        <f>H422</f>
        <v>2026</v>
      </c>
      <c r="I432" s="191">
        <f ca="1">I422</f>
        <v>35.902021176061034</v>
      </c>
      <c r="J432" s="191" t="str">
        <f>IF(controle_formulario!$C$39=1,controle_formulario!$C$37,controle_formulario!$C$38)</f>
        <v>Epidemiologico Beneficiarios Saude Suplementar</v>
      </c>
      <c r="K432" s="192" t="s">
        <v>170</v>
      </c>
      <c r="L432" s="192">
        <f t="shared" ref="L432:L441" si="206">trat.c</f>
        <v>0</v>
      </c>
      <c r="M432" s="193">
        <f>Resumo!$D$41</f>
        <v>0</v>
      </c>
      <c r="N432" s="193">
        <f>Resumo!$D$50</f>
        <v>0</v>
      </c>
      <c r="O432" s="192" t="s">
        <v>179</v>
      </c>
      <c r="P432" s="192" t="str">
        <f t="shared" si="195"/>
        <v>Taxa de difusão em X anos: XX%</v>
      </c>
      <c r="Q432" s="194">
        <f>'Market Share'!G72</f>
        <v>0</v>
      </c>
      <c r="R432" s="195">
        <f ca="1">R422</f>
        <v>0</v>
      </c>
      <c r="S432" s="196">
        <f ca="1">S422</f>
        <v>-4110544.4385289042</v>
      </c>
    </row>
    <row r="433" spans="1:19" x14ac:dyDescent="0.3">
      <c r="A433" s="198" t="str">
        <f>IF(AND(VALUE(RIGHT(O433,2))&lt;=controle_formulario!$E$16,VALUE(RIGHT(K433,2))&lt;=controle_formulario!$C$10,H433&lt;=Criterios!$C$31+controle_formulario!$I$16-1),"SIM","NÃO")</f>
        <v>NÃO</v>
      </c>
      <c r="B433" s="198">
        <f t="shared" si="186"/>
        <v>0</v>
      </c>
      <c r="C433" s="198" t="str">
        <f t="shared" si="187"/>
        <v>Formrol</v>
      </c>
      <c r="D433" s="179"/>
      <c r="E433" s="198" t="str">
        <f t="shared" si="188"/>
        <v>Planilha 1</v>
      </c>
      <c r="F433" s="198" t="str">
        <f t="shared" si="189"/>
        <v>Geral</v>
      </c>
      <c r="G433" s="198" t="s">
        <v>19</v>
      </c>
      <c r="H433" s="199">
        <f t="shared" ref="H433:I441" si="207">H423</f>
        <v>2027</v>
      </c>
      <c r="I433" s="200">
        <f t="shared" ca="1" si="207"/>
        <v>36.027114594978322</v>
      </c>
      <c r="J433" s="200" t="str">
        <f>IF(controle_formulario!$C$39=1,controle_formulario!$C$37,controle_formulario!$C$38)</f>
        <v>Epidemiologico Beneficiarios Saude Suplementar</v>
      </c>
      <c r="K433" s="197" t="s">
        <v>170</v>
      </c>
      <c r="L433" s="197">
        <f t="shared" si="206"/>
        <v>0</v>
      </c>
      <c r="M433" s="201">
        <f>M432</f>
        <v>0</v>
      </c>
      <c r="N433" s="201">
        <f>N432</f>
        <v>0</v>
      </c>
      <c r="O433" s="197" t="s">
        <v>179</v>
      </c>
      <c r="P433" s="197" t="str">
        <f t="shared" si="195"/>
        <v>Taxa de difusão em X anos: XX%</v>
      </c>
      <c r="Q433" s="202">
        <f>'Market Share'!G73</f>
        <v>0</v>
      </c>
      <c r="R433" s="203">
        <f t="shared" ref="R433:S441" ca="1" si="208">R423</f>
        <v>0</v>
      </c>
      <c r="S433" s="204">
        <f t="shared" ca="1" si="208"/>
        <v>-4124866.8092641174</v>
      </c>
    </row>
    <row r="434" spans="1:19" x14ac:dyDescent="0.3">
      <c r="A434" s="198" t="str">
        <f>IF(AND(VALUE(RIGHT(O434,2))&lt;=controle_formulario!$E$16,VALUE(RIGHT(K434,2))&lt;=controle_formulario!$C$10,H434&lt;=Criterios!$C$31+controle_formulario!$I$16-1),"SIM","NÃO")</f>
        <v>NÃO</v>
      </c>
      <c r="B434" s="198">
        <f t="shared" si="186"/>
        <v>0</v>
      </c>
      <c r="C434" s="198" t="str">
        <f t="shared" si="187"/>
        <v>Formrol</v>
      </c>
      <c r="D434" s="179"/>
      <c r="E434" s="198" t="str">
        <f t="shared" si="188"/>
        <v>Planilha 1</v>
      </c>
      <c r="F434" s="198" t="str">
        <f t="shared" si="189"/>
        <v>Geral</v>
      </c>
      <c r="G434" s="198" t="s">
        <v>20</v>
      </c>
      <c r="H434" s="199">
        <f t="shared" si="207"/>
        <v>2028</v>
      </c>
      <c r="I434" s="200">
        <f t="shared" ca="1" si="207"/>
        <v>36.142742272880319</v>
      </c>
      <c r="J434" s="200" t="str">
        <f>IF(controle_formulario!$C$39=1,controle_formulario!$C$37,controle_formulario!$C$38)</f>
        <v>Epidemiologico Beneficiarios Saude Suplementar</v>
      </c>
      <c r="K434" s="197" t="s">
        <v>170</v>
      </c>
      <c r="L434" s="197">
        <f t="shared" si="206"/>
        <v>0</v>
      </c>
      <c r="M434" s="201">
        <f t="shared" ref="M434:N441" si="209">M433</f>
        <v>0</v>
      </c>
      <c r="N434" s="201">
        <f t="shared" si="209"/>
        <v>0</v>
      </c>
      <c r="O434" s="197" t="s">
        <v>179</v>
      </c>
      <c r="P434" s="197" t="str">
        <f t="shared" ref="P434:P451" si="210">cen.alt8</f>
        <v>Taxa de difusão em X anos: XX%</v>
      </c>
      <c r="Q434" s="202">
        <f>'Market Share'!G74</f>
        <v>0</v>
      </c>
      <c r="R434" s="203">
        <f t="shared" ca="1" si="208"/>
        <v>0</v>
      </c>
      <c r="S434" s="204">
        <f t="shared" ca="1" si="208"/>
        <v>-4138105.4151356164</v>
      </c>
    </row>
    <row r="435" spans="1:19" x14ac:dyDescent="0.3">
      <c r="A435" s="198" t="str">
        <f>IF(AND(VALUE(RIGHT(O435,2))&lt;=controle_formulario!$E$16,VALUE(RIGHT(K435,2))&lt;=controle_formulario!$C$10,H435&lt;=Criterios!$C$31+controle_formulario!$I$16-1),"SIM","NÃO")</f>
        <v>NÃO</v>
      </c>
      <c r="B435" s="198">
        <f t="shared" si="186"/>
        <v>0</v>
      </c>
      <c r="C435" s="198" t="str">
        <f t="shared" si="187"/>
        <v>Formrol</v>
      </c>
      <c r="D435" s="179"/>
      <c r="E435" s="198" t="str">
        <f t="shared" si="188"/>
        <v>Planilha 1</v>
      </c>
      <c r="F435" s="198" t="str">
        <f t="shared" si="189"/>
        <v>Geral</v>
      </c>
      <c r="G435" s="198" t="s">
        <v>21</v>
      </c>
      <c r="H435" s="199">
        <f t="shared" si="207"/>
        <v>2029</v>
      </c>
      <c r="I435" s="200">
        <f t="shared" ca="1" si="207"/>
        <v>36.250027878529522</v>
      </c>
      <c r="J435" s="200" t="str">
        <f>IF(controle_formulario!$C$39=1,controle_formulario!$C$37,controle_formulario!$C$38)</f>
        <v>Epidemiologico Beneficiarios Saude Suplementar</v>
      </c>
      <c r="K435" s="197" t="s">
        <v>170</v>
      </c>
      <c r="L435" s="197">
        <f t="shared" si="206"/>
        <v>0</v>
      </c>
      <c r="M435" s="201">
        <f t="shared" si="209"/>
        <v>0</v>
      </c>
      <c r="N435" s="201">
        <f t="shared" si="209"/>
        <v>0</v>
      </c>
      <c r="O435" s="197" t="s">
        <v>179</v>
      </c>
      <c r="P435" s="197" t="str">
        <f t="shared" si="210"/>
        <v>Taxa de difusão em X anos: XX%</v>
      </c>
      <c r="Q435" s="202">
        <f>'Market Share'!G75</f>
        <v>0</v>
      </c>
      <c r="R435" s="203">
        <f t="shared" ca="1" si="208"/>
        <v>0</v>
      </c>
      <c r="S435" s="204">
        <f t="shared" ca="1" si="208"/>
        <v>-4150388.9087994657</v>
      </c>
    </row>
    <row r="436" spans="1:19" x14ac:dyDescent="0.3">
      <c r="A436" s="198" t="str">
        <f>IF(AND(VALUE(RIGHT(O436,2))&lt;=controle_formulario!$E$16,VALUE(RIGHT(K436,2))&lt;=controle_formulario!$C$10,H436&lt;=Criterios!$C$31+controle_formulario!$I$16-1),"SIM","NÃO")</f>
        <v>NÃO</v>
      </c>
      <c r="B436" s="198">
        <f t="shared" si="186"/>
        <v>0</v>
      </c>
      <c r="C436" s="198" t="str">
        <f t="shared" si="187"/>
        <v>Formrol</v>
      </c>
      <c r="D436" s="179"/>
      <c r="E436" s="198" t="str">
        <f t="shared" si="188"/>
        <v>Planilha 1</v>
      </c>
      <c r="F436" s="198" t="str">
        <f t="shared" si="189"/>
        <v>Geral</v>
      </c>
      <c r="G436" s="198" t="s">
        <v>22</v>
      </c>
      <c r="H436" s="199">
        <f t="shared" si="207"/>
        <v>2030</v>
      </c>
      <c r="I436" s="200">
        <f t="shared" ca="1" si="207"/>
        <v>36.350592396534239</v>
      </c>
      <c r="J436" s="200" t="str">
        <f>IF(controle_formulario!$C$39=1,controle_formulario!$C$37,controle_formulario!$C$38)</f>
        <v>Epidemiologico Beneficiarios Saude Suplementar</v>
      </c>
      <c r="K436" s="197" t="s">
        <v>170</v>
      </c>
      <c r="L436" s="197">
        <f t="shared" si="206"/>
        <v>0</v>
      </c>
      <c r="M436" s="201">
        <f t="shared" si="209"/>
        <v>0</v>
      </c>
      <c r="N436" s="201">
        <f t="shared" si="209"/>
        <v>0</v>
      </c>
      <c r="O436" s="197" t="s">
        <v>179</v>
      </c>
      <c r="P436" s="197" t="str">
        <f t="shared" si="210"/>
        <v>Taxa de difusão em X anos: XX%</v>
      </c>
      <c r="Q436" s="202">
        <f>'Market Share'!G76</f>
        <v>0</v>
      </c>
      <c r="R436" s="203">
        <f t="shared" ca="1" si="208"/>
        <v>0</v>
      </c>
      <c r="S436" s="204">
        <f t="shared" ca="1" si="208"/>
        <v>-4161902.8822933384</v>
      </c>
    </row>
    <row r="437" spans="1:19" x14ac:dyDescent="0.3">
      <c r="A437" s="198" t="str">
        <f>IF(AND(VALUE(RIGHT(O437,2))&lt;=controle_formulario!$E$16,VALUE(RIGHT(K437,2))&lt;=controle_formulario!$C$10,H437&lt;=Criterios!$C$31+controle_formulario!$I$16-1),"SIM","NÃO")</f>
        <v>NÃO</v>
      </c>
      <c r="B437" s="198">
        <f t="shared" si="186"/>
        <v>0</v>
      </c>
      <c r="C437" s="198" t="str">
        <f t="shared" si="187"/>
        <v>Formrol</v>
      </c>
      <c r="D437" s="179"/>
      <c r="E437" s="198" t="str">
        <f t="shared" si="188"/>
        <v>Planilha 1</v>
      </c>
      <c r="F437" s="198" t="str">
        <f t="shared" si="189"/>
        <v>Geral</v>
      </c>
      <c r="G437" s="198" t="s">
        <v>23</v>
      </c>
      <c r="H437" s="199">
        <f t="shared" si="207"/>
        <v>2031</v>
      </c>
      <c r="I437" s="200">
        <f t="shared" si="207"/>
        <v>0</v>
      </c>
      <c r="J437" s="200" t="str">
        <f>IF(controle_formulario!$C$39=1,controle_formulario!$C$37,controle_formulario!$C$38)</f>
        <v>Epidemiologico Beneficiarios Saude Suplementar</v>
      </c>
      <c r="K437" s="197" t="s">
        <v>170</v>
      </c>
      <c r="L437" s="197">
        <f t="shared" si="206"/>
        <v>0</v>
      </c>
      <c r="M437" s="201">
        <f t="shared" si="209"/>
        <v>0</v>
      </c>
      <c r="N437" s="201">
        <f t="shared" si="209"/>
        <v>0</v>
      </c>
      <c r="O437" s="197" t="s">
        <v>179</v>
      </c>
      <c r="P437" s="197" t="str">
        <f t="shared" si="210"/>
        <v>Taxa de difusão em X anos: XX%</v>
      </c>
      <c r="Q437" s="202">
        <f>'Market Share'!G77</f>
        <v>0</v>
      </c>
      <c r="R437" s="203">
        <f t="shared" ca="1" si="208"/>
        <v>0</v>
      </c>
      <c r="S437" s="204">
        <f t="shared" ca="1" si="208"/>
        <v>0</v>
      </c>
    </row>
    <row r="438" spans="1:19" x14ac:dyDescent="0.3">
      <c r="A438" s="198" t="str">
        <f>IF(AND(VALUE(RIGHT(O438,2))&lt;=controle_formulario!$E$16,VALUE(RIGHT(K438,2))&lt;=controle_formulario!$C$10,H438&lt;=Criterios!$C$31+controle_formulario!$I$16-1),"SIM","NÃO")</f>
        <v>NÃO</v>
      </c>
      <c r="B438" s="198">
        <f t="shared" si="186"/>
        <v>0</v>
      </c>
      <c r="C438" s="198" t="str">
        <f t="shared" si="187"/>
        <v>Formrol</v>
      </c>
      <c r="D438" s="179"/>
      <c r="E438" s="198" t="str">
        <f t="shared" si="188"/>
        <v>Planilha 1</v>
      </c>
      <c r="F438" s="198" t="str">
        <f t="shared" si="189"/>
        <v>Geral</v>
      </c>
      <c r="G438" s="198" t="s">
        <v>24</v>
      </c>
      <c r="H438" s="199">
        <f t="shared" si="207"/>
        <v>2032</v>
      </c>
      <c r="I438" s="200">
        <f t="shared" si="207"/>
        <v>0</v>
      </c>
      <c r="J438" s="200" t="str">
        <f>IF(controle_formulario!$C$39=1,controle_formulario!$C$37,controle_formulario!$C$38)</f>
        <v>Epidemiologico Beneficiarios Saude Suplementar</v>
      </c>
      <c r="K438" s="197" t="s">
        <v>170</v>
      </c>
      <c r="L438" s="197">
        <f t="shared" si="206"/>
        <v>0</v>
      </c>
      <c r="M438" s="201">
        <f t="shared" si="209"/>
        <v>0</v>
      </c>
      <c r="N438" s="201">
        <f t="shared" si="209"/>
        <v>0</v>
      </c>
      <c r="O438" s="197" t="s">
        <v>179</v>
      </c>
      <c r="P438" s="197" t="str">
        <f t="shared" si="210"/>
        <v>Taxa de difusão em X anos: XX%</v>
      </c>
      <c r="Q438" s="202">
        <f>'Market Share'!G78</f>
        <v>0</v>
      </c>
      <c r="R438" s="203">
        <f t="shared" ca="1" si="208"/>
        <v>0</v>
      </c>
      <c r="S438" s="204">
        <f t="shared" ca="1" si="208"/>
        <v>0</v>
      </c>
    </row>
    <row r="439" spans="1:19" x14ac:dyDescent="0.3">
      <c r="A439" s="198" t="str">
        <f>IF(AND(VALUE(RIGHT(O439,2))&lt;=controle_formulario!$E$16,VALUE(RIGHT(K439,2))&lt;=controle_formulario!$C$10,H439&lt;=Criterios!$C$31+controle_formulario!$I$16-1),"SIM","NÃO")</f>
        <v>NÃO</v>
      </c>
      <c r="B439" s="198">
        <f t="shared" si="186"/>
        <v>0</v>
      </c>
      <c r="C439" s="198" t="str">
        <f t="shared" si="187"/>
        <v>Formrol</v>
      </c>
      <c r="D439" s="179"/>
      <c r="E439" s="198" t="str">
        <f t="shared" si="188"/>
        <v>Planilha 1</v>
      </c>
      <c r="F439" s="198" t="str">
        <f t="shared" si="189"/>
        <v>Geral</v>
      </c>
      <c r="G439" s="198" t="s">
        <v>25</v>
      </c>
      <c r="H439" s="199">
        <f t="shared" si="207"/>
        <v>2033</v>
      </c>
      <c r="I439" s="200">
        <f t="shared" si="207"/>
        <v>0</v>
      </c>
      <c r="J439" s="200" t="str">
        <f>IF(controle_formulario!$C$39=1,controle_formulario!$C$37,controle_formulario!$C$38)</f>
        <v>Epidemiologico Beneficiarios Saude Suplementar</v>
      </c>
      <c r="K439" s="197" t="s">
        <v>170</v>
      </c>
      <c r="L439" s="197">
        <f t="shared" si="206"/>
        <v>0</v>
      </c>
      <c r="M439" s="201">
        <f t="shared" si="209"/>
        <v>0</v>
      </c>
      <c r="N439" s="201">
        <f t="shared" si="209"/>
        <v>0</v>
      </c>
      <c r="O439" s="197" t="s">
        <v>179</v>
      </c>
      <c r="P439" s="197" t="str">
        <f t="shared" si="210"/>
        <v>Taxa de difusão em X anos: XX%</v>
      </c>
      <c r="Q439" s="202">
        <f>'Market Share'!G79</f>
        <v>0</v>
      </c>
      <c r="R439" s="203">
        <f t="shared" ca="1" si="208"/>
        <v>0</v>
      </c>
      <c r="S439" s="204">
        <f t="shared" ca="1" si="208"/>
        <v>0</v>
      </c>
    </row>
    <row r="440" spans="1:19" x14ac:dyDescent="0.3">
      <c r="A440" s="198" t="str">
        <f>IF(AND(VALUE(RIGHT(O440,2))&lt;=controle_formulario!$E$16,VALUE(RIGHT(K440,2))&lt;=controle_formulario!$C$10,H440&lt;=Criterios!$C$31+controle_formulario!$I$16-1),"SIM","NÃO")</f>
        <v>NÃO</v>
      </c>
      <c r="B440" s="198">
        <f t="shared" si="186"/>
        <v>0</v>
      </c>
      <c r="C440" s="198" t="str">
        <f t="shared" si="187"/>
        <v>Formrol</v>
      </c>
      <c r="D440" s="179"/>
      <c r="E440" s="198" t="str">
        <f t="shared" si="188"/>
        <v>Planilha 1</v>
      </c>
      <c r="F440" s="198" t="str">
        <f t="shared" si="189"/>
        <v>Geral</v>
      </c>
      <c r="G440" s="198" t="s">
        <v>26</v>
      </c>
      <c r="H440" s="199">
        <f t="shared" si="207"/>
        <v>2034</v>
      </c>
      <c r="I440" s="200">
        <f t="shared" si="207"/>
        <v>0</v>
      </c>
      <c r="J440" s="200" t="str">
        <f>IF(controle_formulario!$C$39=1,controle_formulario!$C$37,controle_formulario!$C$38)</f>
        <v>Epidemiologico Beneficiarios Saude Suplementar</v>
      </c>
      <c r="K440" s="197" t="s">
        <v>170</v>
      </c>
      <c r="L440" s="197">
        <f t="shared" si="206"/>
        <v>0</v>
      </c>
      <c r="M440" s="201">
        <f t="shared" si="209"/>
        <v>0</v>
      </c>
      <c r="N440" s="201">
        <f t="shared" si="209"/>
        <v>0</v>
      </c>
      <c r="O440" s="197" t="s">
        <v>179</v>
      </c>
      <c r="P440" s="197" t="str">
        <f t="shared" si="210"/>
        <v>Taxa de difusão em X anos: XX%</v>
      </c>
      <c r="Q440" s="202">
        <f>'Market Share'!G80</f>
        <v>0</v>
      </c>
      <c r="R440" s="203">
        <f t="shared" ca="1" si="208"/>
        <v>0</v>
      </c>
      <c r="S440" s="204">
        <f t="shared" ca="1" si="208"/>
        <v>0</v>
      </c>
    </row>
    <row r="441" spans="1:19" ht="15" thickBot="1" x14ac:dyDescent="0.35">
      <c r="A441" s="205" t="str">
        <f>IF(AND(VALUE(RIGHT(O441,2))&lt;=controle_formulario!$E$16,VALUE(RIGHT(K441,2))&lt;=controle_formulario!$C$10,H441&lt;=Criterios!$C$31+controle_formulario!$I$16-1),"SIM","NÃO")</f>
        <v>NÃO</v>
      </c>
      <c r="B441" s="205">
        <f t="shared" si="186"/>
        <v>0</v>
      </c>
      <c r="C441" s="205" t="str">
        <f t="shared" si="187"/>
        <v>Formrol</v>
      </c>
      <c r="D441" s="180"/>
      <c r="E441" s="205" t="str">
        <f t="shared" si="188"/>
        <v>Planilha 1</v>
      </c>
      <c r="F441" s="205" t="str">
        <f t="shared" si="189"/>
        <v>Geral</v>
      </c>
      <c r="G441" s="205" t="s">
        <v>27</v>
      </c>
      <c r="H441" s="206">
        <f t="shared" si="207"/>
        <v>2035</v>
      </c>
      <c r="I441" s="207">
        <f t="shared" si="207"/>
        <v>0</v>
      </c>
      <c r="J441" s="207" t="str">
        <f>IF(controle_formulario!$C$39=1,controle_formulario!$C$37,controle_formulario!$C$38)</f>
        <v>Epidemiologico Beneficiarios Saude Suplementar</v>
      </c>
      <c r="K441" s="208" t="s">
        <v>170</v>
      </c>
      <c r="L441" s="208">
        <f t="shared" si="206"/>
        <v>0</v>
      </c>
      <c r="M441" s="201">
        <f t="shared" si="209"/>
        <v>0</v>
      </c>
      <c r="N441" s="201">
        <f t="shared" si="209"/>
        <v>0</v>
      </c>
      <c r="O441" s="214" t="s">
        <v>179</v>
      </c>
      <c r="P441" s="214" t="str">
        <f t="shared" si="210"/>
        <v>Taxa de difusão em X anos: XX%</v>
      </c>
      <c r="Q441" s="209">
        <f>'Market Share'!G81</f>
        <v>0</v>
      </c>
      <c r="R441" s="216">
        <f t="shared" ca="1" si="208"/>
        <v>0</v>
      </c>
      <c r="S441" s="217">
        <f t="shared" ca="1" si="208"/>
        <v>0</v>
      </c>
    </row>
    <row r="442" spans="1:19" x14ac:dyDescent="0.3">
      <c r="A442" s="189" t="str">
        <f>IF(AND(VALUE(RIGHT(O442,2))&lt;=controle_formulario!$E$16,VALUE(RIGHT(K442,2))&lt;=controle_formulario!$C$10,H442&lt;=Criterios!$C$31+controle_formulario!$I$16-1),"SIM","NÃO")</f>
        <v>NÃO</v>
      </c>
      <c r="B442" s="189">
        <f t="shared" si="186"/>
        <v>0</v>
      </c>
      <c r="C442" s="189" t="str">
        <f t="shared" si="187"/>
        <v>Formrol</v>
      </c>
      <c r="D442" s="177"/>
      <c r="E442" s="189" t="str">
        <f t="shared" si="188"/>
        <v>Planilha 1</v>
      </c>
      <c r="F442" s="189" t="str">
        <f t="shared" si="189"/>
        <v>Geral</v>
      </c>
      <c r="G442" s="189" t="s">
        <v>18</v>
      </c>
      <c r="H442" s="190">
        <f>H432</f>
        <v>2026</v>
      </c>
      <c r="I442" s="191">
        <f ca="1">I432</f>
        <v>35.902021176061034</v>
      </c>
      <c r="J442" s="191" t="str">
        <f>IF(controle_formulario!$C$39=1,controle_formulario!$C$37,controle_formulario!$C$38)</f>
        <v>Epidemiologico Beneficiarios Saude Suplementar</v>
      </c>
      <c r="K442" s="192" t="s">
        <v>171</v>
      </c>
      <c r="L442" s="192">
        <f t="shared" ref="L442:L451" si="211">trat.d</f>
        <v>0</v>
      </c>
      <c r="M442" s="193">
        <f>Resumo!$D$42</f>
        <v>0</v>
      </c>
      <c r="N442" s="193">
        <f>Resumo!$D$51</f>
        <v>0</v>
      </c>
      <c r="O442" s="192" t="s">
        <v>179</v>
      </c>
      <c r="P442" s="192" t="str">
        <f t="shared" si="210"/>
        <v>Taxa de difusão em X anos: XX%</v>
      </c>
      <c r="Q442" s="194">
        <f>'Market Share'!H72</f>
        <v>0</v>
      </c>
      <c r="R442" s="195">
        <f ca="1">R432</f>
        <v>0</v>
      </c>
      <c r="S442" s="196">
        <f ca="1">S432</f>
        <v>-4110544.4385289042</v>
      </c>
    </row>
    <row r="443" spans="1:19" x14ac:dyDescent="0.3">
      <c r="A443" s="198" t="str">
        <f>IF(AND(VALUE(RIGHT(O443,2))&lt;=controle_formulario!$E$16,VALUE(RIGHT(K443,2))&lt;=controle_formulario!$C$10,H443&lt;=Criterios!$C$31+controle_formulario!$I$16-1),"SIM","NÃO")</f>
        <v>NÃO</v>
      </c>
      <c r="B443" s="198">
        <f t="shared" si="186"/>
        <v>0</v>
      </c>
      <c r="C443" s="198" t="str">
        <f t="shared" si="187"/>
        <v>Formrol</v>
      </c>
      <c r="D443" s="179"/>
      <c r="E443" s="198" t="str">
        <f t="shared" si="188"/>
        <v>Planilha 1</v>
      </c>
      <c r="F443" s="198" t="str">
        <f t="shared" si="189"/>
        <v>Geral</v>
      </c>
      <c r="G443" s="198" t="s">
        <v>19</v>
      </c>
      <c r="H443" s="199">
        <f t="shared" ref="H443:I451" si="212">H433</f>
        <v>2027</v>
      </c>
      <c r="I443" s="200">
        <f t="shared" ca="1" si="212"/>
        <v>36.027114594978322</v>
      </c>
      <c r="J443" s="200" t="str">
        <f>IF(controle_formulario!$C$39=1,controle_formulario!$C$37,controle_formulario!$C$38)</f>
        <v>Epidemiologico Beneficiarios Saude Suplementar</v>
      </c>
      <c r="K443" s="197" t="s">
        <v>171</v>
      </c>
      <c r="L443" s="197">
        <f t="shared" si="211"/>
        <v>0</v>
      </c>
      <c r="M443" s="201">
        <f>M442</f>
        <v>0</v>
      </c>
      <c r="N443" s="201">
        <f>N442</f>
        <v>0</v>
      </c>
      <c r="O443" s="197" t="s">
        <v>179</v>
      </c>
      <c r="P443" s="197" t="str">
        <f t="shared" si="210"/>
        <v>Taxa de difusão em X anos: XX%</v>
      </c>
      <c r="Q443" s="202">
        <f>'Market Share'!H73</f>
        <v>0</v>
      </c>
      <c r="R443" s="203">
        <f t="shared" ref="R443:S451" ca="1" si="213">R433</f>
        <v>0</v>
      </c>
      <c r="S443" s="204">
        <f t="shared" ca="1" si="213"/>
        <v>-4124866.8092641174</v>
      </c>
    </row>
    <row r="444" spans="1:19" x14ac:dyDescent="0.3">
      <c r="A444" s="198" t="str">
        <f>IF(AND(VALUE(RIGHT(O444,2))&lt;=controle_formulario!$E$16,VALUE(RIGHT(K444,2))&lt;=controle_formulario!$C$10,H444&lt;=Criterios!$C$31+controle_formulario!$I$16-1),"SIM","NÃO")</f>
        <v>NÃO</v>
      </c>
      <c r="B444" s="198">
        <f t="shared" si="186"/>
        <v>0</v>
      </c>
      <c r="C444" s="198" t="str">
        <f t="shared" si="187"/>
        <v>Formrol</v>
      </c>
      <c r="D444" s="179"/>
      <c r="E444" s="198" t="str">
        <f t="shared" si="188"/>
        <v>Planilha 1</v>
      </c>
      <c r="F444" s="198" t="str">
        <f t="shared" si="189"/>
        <v>Geral</v>
      </c>
      <c r="G444" s="198" t="s">
        <v>20</v>
      </c>
      <c r="H444" s="199">
        <f t="shared" si="212"/>
        <v>2028</v>
      </c>
      <c r="I444" s="200">
        <f t="shared" ca="1" si="212"/>
        <v>36.142742272880319</v>
      </c>
      <c r="J444" s="200" t="str">
        <f>IF(controle_formulario!$C$39=1,controle_formulario!$C$37,controle_formulario!$C$38)</f>
        <v>Epidemiologico Beneficiarios Saude Suplementar</v>
      </c>
      <c r="K444" s="197" t="s">
        <v>171</v>
      </c>
      <c r="L444" s="197">
        <f t="shared" si="211"/>
        <v>0</v>
      </c>
      <c r="M444" s="201">
        <f t="shared" ref="M444:N451" si="214">M443</f>
        <v>0</v>
      </c>
      <c r="N444" s="201">
        <f t="shared" si="214"/>
        <v>0</v>
      </c>
      <c r="O444" s="197" t="s">
        <v>179</v>
      </c>
      <c r="P444" s="197" t="str">
        <f t="shared" si="210"/>
        <v>Taxa de difusão em X anos: XX%</v>
      </c>
      <c r="Q444" s="202">
        <f>'Market Share'!H74</f>
        <v>0</v>
      </c>
      <c r="R444" s="203">
        <f t="shared" ca="1" si="213"/>
        <v>0</v>
      </c>
      <c r="S444" s="204">
        <f t="shared" ca="1" si="213"/>
        <v>-4138105.4151356164</v>
      </c>
    </row>
    <row r="445" spans="1:19" x14ac:dyDescent="0.3">
      <c r="A445" s="198" t="str">
        <f>IF(AND(VALUE(RIGHT(O445,2))&lt;=controle_formulario!$E$16,VALUE(RIGHT(K445,2))&lt;=controle_formulario!$C$10,H445&lt;=Criterios!$C$31+controle_formulario!$I$16-1),"SIM","NÃO")</f>
        <v>NÃO</v>
      </c>
      <c r="B445" s="198">
        <f t="shared" si="186"/>
        <v>0</v>
      </c>
      <c r="C445" s="198" t="str">
        <f t="shared" si="187"/>
        <v>Formrol</v>
      </c>
      <c r="D445" s="179"/>
      <c r="E445" s="198" t="str">
        <f t="shared" si="188"/>
        <v>Planilha 1</v>
      </c>
      <c r="F445" s="198" t="str">
        <f t="shared" si="189"/>
        <v>Geral</v>
      </c>
      <c r="G445" s="198" t="s">
        <v>21</v>
      </c>
      <c r="H445" s="199">
        <f t="shared" si="212"/>
        <v>2029</v>
      </c>
      <c r="I445" s="200">
        <f t="shared" ca="1" si="212"/>
        <v>36.250027878529522</v>
      </c>
      <c r="J445" s="200" t="str">
        <f>IF(controle_formulario!$C$39=1,controle_formulario!$C$37,controle_formulario!$C$38)</f>
        <v>Epidemiologico Beneficiarios Saude Suplementar</v>
      </c>
      <c r="K445" s="197" t="s">
        <v>171</v>
      </c>
      <c r="L445" s="197">
        <f t="shared" si="211"/>
        <v>0</v>
      </c>
      <c r="M445" s="201">
        <f t="shared" si="214"/>
        <v>0</v>
      </c>
      <c r="N445" s="201">
        <f t="shared" si="214"/>
        <v>0</v>
      </c>
      <c r="O445" s="197" t="s">
        <v>179</v>
      </c>
      <c r="P445" s="197" t="str">
        <f t="shared" si="210"/>
        <v>Taxa de difusão em X anos: XX%</v>
      </c>
      <c r="Q445" s="202">
        <f>'Market Share'!H75</f>
        <v>0</v>
      </c>
      <c r="R445" s="203">
        <f t="shared" ca="1" si="213"/>
        <v>0</v>
      </c>
      <c r="S445" s="204">
        <f t="shared" ca="1" si="213"/>
        <v>-4150388.9087994657</v>
      </c>
    </row>
    <row r="446" spans="1:19" x14ac:dyDescent="0.3">
      <c r="A446" s="198" t="str">
        <f>IF(AND(VALUE(RIGHT(O446,2))&lt;=controle_formulario!$E$16,VALUE(RIGHT(K446,2))&lt;=controle_formulario!$C$10,H446&lt;=Criterios!$C$31+controle_formulario!$I$16-1),"SIM","NÃO")</f>
        <v>NÃO</v>
      </c>
      <c r="B446" s="198">
        <f t="shared" si="186"/>
        <v>0</v>
      </c>
      <c r="C446" s="198" t="str">
        <f t="shared" si="187"/>
        <v>Formrol</v>
      </c>
      <c r="D446" s="179"/>
      <c r="E446" s="198" t="str">
        <f t="shared" si="188"/>
        <v>Planilha 1</v>
      </c>
      <c r="F446" s="198" t="str">
        <f t="shared" si="189"/>
        <v>Geral</v>
      </c>
      <c r="G446" s="198" t="s">
        <v>22</v>
      </c>
      <c r="H446" s="199">
        <f t="shared" si="212"/>
        <v>2030</v>
      </c>
      <c r="I446" s="200">
        <f t="shared" ca="1" si="212"/>
        <v>36.350592396534239</v>
      </c>
      <c r="J446" s="200" t="str">
        <f>IF(controle_formulario!$C$39=1,controle_formulario!$C$37,controle_formulario!$C$38)</f>
        <v>Epidemiologico Beneficiarios Saude Suplementar</v>
      </c>
      <c r="K446" s="197" t="s">
        <v>171</v>
      </c>
      <c r="L446" s="197">
        <f t="shared" si="211"/>
        <v>0</v>
      </c>
      <c r="M446" s="201">
        <f t="shared" si="214"/>
        <v>0</v>
      </c>
      <c r="N446" s="201">
        <f t="shared" si="214"/>
        <v>0</v>
      </c>
      <c r="O446" s="197" t="s">
        <v>179</v>
      </c>
      <c r="P446" s="197" t="str">
        <f t="shared" si="210"/>
        <v>Taxa de difusão em X anos: XX%</v>
      </c>
      <c r="Q446" s="202">
        <f>'Market Share'!H76</f>
        <v>0</v>
      </c>
      <c r="R446" s="203">
        <f t="shared" ca="1" si="213"/>
        <v>0</v>
      </c>
      <c r="S446" s="204">
        <f t="shared" ca="1" si="213"/>
        <v>-4161902.8822933384</v>
      </c>
    </row>
    <row r="447" spans="1:19" x14ac:dyDescent="0.3">
      <c r="A447" s="198" t="str">
        <f>IF(AND(VALUE(RIGHT(O447,2))&lt;=controle_formulario!$E$16,VALUE(RIGHT(K447,2))&lt;=controle_formulario!$C$10,H447&lt;=Criterios!$C$31+controle_formulario!$I$16-1),"SIM","NÃO")</f>
        <v>NÃO</v>
      </c>
      <c r="B447" s="198">
        <f t="shared" si="186"/>
        <v>0</v>
      </c>
      <c r="C447" s="198" t="str">
        <f t="shared" si="187"/>
        <v>Formrol</v>
      </c>
      <c r="D447" s="179"/>
      <c r="E447" s="198" t="str">
        <f t="shared" si="188"/>
        <v>Planilha 1</v>
      </c>
      <c r="F447" s="198" t="str">
        <f t="shared" si="189"/>
        <v>Geral</v>
      </c>
      <c r="G447" s="198" t="s">
        <v>23</v>
      </c>
      <c r="H447" s="199">
        <f t="shared" si="212"/>
        <v>2031</v>
      </c>
      <c r="I447" s="200">
        <f t="shared" si="212"/>
        <v>0</v>
      </c>
      <c r="J447" s="200" t="str">
        <f>IF(controle_formulario!$C$39=1,controle_formulario!$C$37,controle_formulario!$C$38)</f>
        <v>Epidemiologico Beneficiarios Saude Suplementar</v>
      </c>
      <c r="K447" s="197" t="s">
        <v>171</v>
      </c>
      <c r="L447" s="197">
        <f t="shared" si="211"/>
        <v>0</v>
      </c>
      <c r="M447" s="201">
        <f t="shared" si="214"/>
        <v>0</v>
      </c>
      <c r="N447" s="201">
        <f t="shared" si="214"/>
        <v>0</v>
      </c>
      <c r="O447" s="197" t="s">
        <v>179</v>
      </c>
      <c r="P447" s="197" t="str">
        <f t="shared" si="210"/>
        <v>Taxa de difusão em X anos: XX%</v>
      </c>
      <c r="Q447" s="202">
        <f>'Market Share'!H77</f>
        <v>0</v>
      </c>
      <c r="R447" s="203">
        <f t="shared" ca="1" si="213"/>
        <v>0</v>
      </c>
      <c r="S447" s="204">
        <f t="shared" ca="1" si="213"/>
        <v>0</v>
      </c>
    </row>
    <row r="448" spans="1:19" x14ac:dyDescent="0.3">
      <c r="A448" s="198" t="str">
        <f>IF(AND(VALUE(RIGHT(O448,2))&lt;=controle_formulario!$E$16,VALUE(RIGHT(K448,2))&lt;=controle_formulario!$C$10,H448&lt;=Criterios!$C$31+controle_formulario!$I$16-1),"SIM","NÃO")</f>
        <v>NÃO</v>
      </c>
      <c r="B448" s="198">
        <f t="shared" si="186"/>
        <v>0</v>
      </c>
      <c r="C448" s="198" t="str">
        <f t="shared" si="187"/>
        <v>Formrol</v>
      </c>
      <c r="D448" s="179"/>
      <c r="E448" s="198" t="str">
        <f t="shared" si="188"/>
        <v>Planilha 1</v>
      </c>
      <c r="F448" s="198" t="str">
        <f t="shared" si="189"/>
        <v>Geral</v>
      </c>
      <c r="G448" s="198" t="s">
        <v>24</v>
      </c>
      <c r="H448" s="199">
        <f t="shared" si="212"/>
        <v>2032</v>
      </c>
      <c r="I448" s="200">
        <f t="shared" si="212"/>
        <v>0</v>
      </c>
      <c r="J448" s="200" t="str">
        <f>IF(controle_formulario!$C$39=1,controle_formulario!$C$37,controle_formulario!$C$38)</f>
        <v>Epidemiologico Beneficiarios Saude Suplementar</v>
      </c>
      <c r="K448" s="197" t="s">
        <v>171</v>
      </c>
      <c r="L448" s="197">
        <f t="shared" si="211"/>
        <v>0</v>
      </c>
      <c r="M448" s="201">
        <f t="shared" si="214"/>
        <v>0</v>
      </c>
      <c r="N448" s="201">
        <f t="shared" si="214"/>
        <v>0</v>
      </c>
      <c r="O448" s="197" t="s">
        <v>179</v>
      </c>
      <c r="P448" s="197" t="str">
        <f t="shared" si="210"/>
        <v>Taxa de difusão em X anos: XX%</v>
      </c>
      <c r="Q448" s="202">
        <f>'Market Share'!H78</f>
        <v>0</v>
      </c>
      <c r="R448" s="203">
        <f t="shared" ca="1" si="213"/>
        <v>0</v>
      </c>
      <c r="S448" s="204">
        <f t="shared" ca="1" si="213"/>
        <v>0</v>
      </c>
    </row>
    <row r="449" spans="1:19" x14ac:dyDescent="0.3">
      <c r="A449" s="198" t="str">
        <f>IF(AND(VALUE(RIGHT(O449,2))&lt;=controle_formulario!$E$16,VALUE(RIGHT(K449,2))&lt;=controle_formulario!$C$10,H449&lt;=Criterios!$C$31+controle_formulario!$I$16-1),"SIM","NÃO")</f>
        <v>NÃO</v>
      </c>
      <c r="B449" s="198">
        <f t="shared" si="186"/>
        <v>0</v>
      </c>
      <c r="C449" s="198" t="str">
        <f t="shared" si="187"/>
        <v>Formrol</v>
      </c>
      <c r="D449" s="179"/>
      <c r="E449" s="198" t="str">
        <f t="shared" si="188"/>
        <v>Planilha 1</v>
      </c>
      <c r="F449" s="198" t="str">
        <f t="shared" si="189"/>
        <v>Geral</v>
      </c>
      <c r="G449" s="198" t="s">
        <v>25</v>
      </c>
      <c r="H449" s="199">
        <f t="shared" si="212"/>
        <v>2033</v>
      </c>
      <c r="I449" s="200">
        <f t="shared" si="212"/>
        <v>0</v>
      </c>
      <c r="J449" s="200" t="str">
        <f>IF(controle_formulario!$C$39=1,controle_formulario!$C$37,controle_formulario!$C$38)</f>
        <v>Epidemiologico Beneficiarios Saude Suplementar</v>
      </c>
      <c r="K449" s="197" t="s">
        <v>171</v>
      </c>
      <c r="L449" s="197">
        <f t="shared" si="211"/>
        <v>0</v>
      </c>
      <c r="M449" s="201">
        <f t="shared" si="214"/>
        <v>0</v>
      </c>
      <c r="N449" s="201">
        <f t="shared" si="214"/>
        <v>0</v>
      </c>
      <c r="O449" s="197" t="s">
        <v>179</v>
      </c>
      <c r="P449" s="197" t="str">
        <f t="shared" si="210"/>
        <v>Taxa de difusão em X anos: XX%</v>
      </c>
      <c r="Q449" s="202">
        <f>'Market Share'!H79</f>
        <v>0</v>
      </c>
      <c r="R449" s="203">
        <f t="shared" ca="1" si="213"/>
        <v>0</v>
      </c>
      <c r="S449" s="204">
        <f t="shared" ca="1" si="213"/>
        <v>0</v>
      </c>
    </row>
    <row r="450" spans="1:19" x14ac:dyDescent="0.3">
      <c r="A450" s="198" t="str">
        <f>IF(AND(VALUE(RIGHT(O450,2))&lt;=controle_formulario!$E$16,VALUE(RIGHT(K450,2))&lt;=controle_formulario!$C$10,H450&lt;=Criterios!$C$31+controle_formulario!$I$16-1),"SIM","NÃO")</f>
        <v>NÃO</v>
      </c>
      <c r="B450" s="198">
        <f t="shared" si="186"/>
        <v>0</v>
      </c>
      <c r="C450" s="198" t="str">
        <f t="shared" si="187"/>
        <v>Formrol</v>
      </c>
      <c r="D450" s="179"/>
      <c r="E450" s="198" t="str">
        <f t="shared" si="188"/>
        <v>Planilha 1</v>
      </c>
      <c r="F450" s="198" t="str">
        <f t="shared" si="189"/>
        <v>Geral</v>
      </c>
      <c r="G450" s="198" t="s">
        <v>26</v>
      </c>
      <c r="H450" s="199">
        <f t="shared" si="212"/>
        <v>2034</v>
      </c>
      <c r="I450" s="200">
        <f t="shared" si="212"/>
        <v>0</v>
      </c>
      <c r="J450" s="200" t="str">
        <f>IF(controle_formulario!$C$39=1,controle_formulario!$C$37,controle_formulario!$C$38)</f>
        <v>Epidemiologico Beneficiarios Saude Suplementar</v>
      </c>
      <c r="K450" s="197" t="s">
        <v>171</v>
      </c>
      <c r="L450" s="197">
        <f t="shared" si="211"/>
        <v>0</v>
      </c>
      <c r="M450" s="201">
        <f t="shared" si="214"/>
        <v>0</v>
      </c>
      <c r="N450" s="201">
        <f t="shared" si="214"/>
        <v>0</v>
      </c>
      <c r="O450" s="197" t="s">
        <v>179</v>
      </c>
      <c r="P450" s="197" t="str">
        <f t="shared" si="210"/>
        <v>Taxa de difusão em X anos: XX%</v>
      </c>
      <c r="Q450" s="202">
        <f>'Market Share'!H80</f>
        <v>0</v>
      </c>
      <c r="R450" s="203">
        <f t="shared" ca="1" si="213"/>
        <v>0</v>
      </c>
      <c r="S450" s="204">
        <f t="shared" ca="1" si="213"/>
        <v>0</v>
      </c>
    </row>
    <row r="451" spans="1:19" ht="15" thickBot="1" x14ac:dyDescent="0.35">
      <c r="A451" s="205" t="str">
        <f>IF(AND(VALUE(RIGHT(O451,2))&lt;=controle_formulario!$E$16,VALUE(RIGHT(K451,2))&lt;=controle_formulario!$C$10,H451&lt;=Criterios!$C$31+controle_formulario!$I$16-1),"SIM","NÃO")</f>
        <v>NÃO</v>
      </c>
      <c r="B451" s="205">
        <f t="shared" ref="B451:B514" si="215">$W$2</f>
        <v>0</v>
      </c>
      <c r="C451" s="205" t="str">
        <f t="shared" ref="C451:C514" si="216">$W$3</f>
        <v>Formrol</v>
      </c>
      <c r="D451" s="180"/>
      <c r="E451" s="205" t="str">
        <f t="shared" ref="E451:E514" si="217">$W$5</f>
        <v>Planilha 1</v>
      </c>
      <c r="F451" s="205" t="str">
        <f t="shared" ref="F451:F514" si="218">$W$6</f>
        <v>Geral</v>
      </c>
      <c r="G451" s="205" t="s">
        <v>27</v>
      </c>
      <c r="H451" s="206">
        <f t="shared" si="212"/>
        <v>2035</v>
      </c>
      <c r="I451" s="207">
        <f t="shared" si="212"/>
        <v>0</v>
      </c>
      <c r="J451" s="207" t="str">
        <f>IF(controle_formulario!$C$39=1,controle_formulario!$C$37,controle_formulario!$C$38)</f>
        <v>Epidemiologico Beneficiarios Saude Suplementar</v>
      </c>
      <c r="K451" s="214" t="s">
        <v>171</v>
      </c>
      <c r="L451" s="214">
        <f t="shared" si="211"/>
        <v>0</v>
      </c>
      <c r="M451" s="201">
        <f t="shared" si="214"/>
        <v>0</v>
      </c>
      <c r="N451" s="201">
        <f t="shared" si="214"/>
        <v>0</v>
      </c>
      <c r="O451" s="214" t="s">
        <v>179</v>
      </c>
      <c r="P451" s="214" t="str">
        <f t="shared" si="210"/>
        <v>Taxa de difusão em X anos: XX%</v>
      </c>
      <c r="Q451" s="215">
        <f>'Market Share'!H81</f>
        <v>0</v>
      </c>
      <c r="R451" s="216">
        <f t="shared" ca="1" si="213"/>
        <v>0</v>
      </c>
      <c r="S451" s="217">
        <f t="shared" ca="1" si="213"/>
        <v>0</v>
      </c>
    </row>
    <row r="452" spans="1:19" x14ac:dyDescent="0.3">
      <c r="A452" s="189" t="str">
        <f>IF(AND(VALUE(RIGHT(O452,2))&lt;=controle_formulario!$E$16,H452&lt;=Criterios!$C$31+controle_formulario!$I$16-1),"SIM","NÃO")</f>
        <v>NÃO</v>
      </c>
      <c r="B452" s="189">
        <f t="shared" si="215"/>
        <v>0</v>
      </c>
      <c r="C452" s="189" t="str">
        <f t="shared" si="216"/>
        <v>Formrol</v>
      </c>
      <c r="D452" s="177"/>
      <c r="E452" s="189" t="str">
        <f t="shared" si="217"/>
        <v>Planilha 1</v>
      </c>
      <c r="F452" s="189" t="str">
        <f t="shared" si="218"/>
        <v>Geral</v>
      </c>
      <c r="G452" s="189" t="s">
        <v>18</v>
      </c>
      <c r="H452" s="190">
        <f>H442</f>
        <v>2026</v>
      </c>
      <c r="I452" s="191">
        <f ca="1">I442</f>
        <v>35.902021176061034</v>
      </c>
      <c r="J452" s="191" t="str">
        <f>IF(controle_formulario!$C$39=1,controle_formulario!$C$37,controle_formulario!$C$38)</f>
        <v>Epidemiologico Beneficiarios Saude Suplementar</v>
      </c>
      <c r="K452" s="192" t="s">
        <v>157</v>
      </c>
      <c r="L452" s="192" t="str">
        <f t="shared" ref="L452:L461" si="219">trat.novo</f>
        <v>Pirtobrutinibe</v>
      </c>
      <c r="M452" s="193">
        <f>Resumo!$D$38</f>
        <v>470468.67999999976</v>
      </c>
      <c r="N452" s="193">
        <f>Resumo!$D$47</f>
        <v>0</v>
      </c>
      <c r="O452" s="192" t="s">
        <v>180</v>
      </c>
      <c r="P452" s="192" t="str">
        <f t="shared" ref="P452:P483" si="220">cen.alt9</f>
        <v>Taxa de difusão em X anos: XX%</v>
      </c>
      <c r="Q452" s="194">
        <f>'Market Share'!L72</f>
        <v>0</v>
      </c>
      <c r="R452" s="195">
        <f ca="1">Resumo!M56</f>
        <v>0</v>
      </c>
      <c r="S452" s="196">
        <f ca="1">Resumo!M72</f>
        <v>-4110544.4385289042</v>
      </c>
    </row>
    <row r="453" spans="1:19" x14ac:dyDescent="0.3">
      <c r="A453" s="198" t="str">
        <f>IF(AND(VALUE(RIGHT(O453,2))&lt;=controle_formulario!$E$16,H453&lt;=Criterios!$C$31+controle_formulario!$I$16-1),"SIM","NÃO")</f>
        <v>NÃO</v>
      </c>
      <c r="B453" s="198">
        <f t="shared" si="215"/>
        <v>0</v>
      </c>
      <c r="C453" s="198" t="str">
        <f t="shared" si="216"/>
        <v>Formrol</v>
      </c>
      <c r="D453" s="179"/>
      <c r="E453" s="198" t="str">
        <f t="shared" si="217"/>
        <v>Planilha 1</v>
      </c>
      <c r="F453" s="198" t="str">
        <f t="shared" si="218"/>
        <v>Geral</v>
      </c>
      <c r="G453" s="198" t="s">
        <v>19</v>
      </c>
      <c r="H453" s="199">
        <f t="shared" ref="H453:I461" si="221">H443</f>
        <v>2027</v>
      </c>
      <c r="I453" s="200">
        <f t="shared" ca="1" si="221"/>
        <v>36.027114594978322</v>
      </c>
      <c r="J453" s="200" t="str">
        <f>IF(controle_formulario!$C$39=1,controle_formulario!$C$37,controle_formulario!$C$38)</f>
        <v>Epidemiologico Beneficiarios Saude Suplementar</v>
      </c>
      <c r="K453" s="197" t="s">
        <v>157</v>
      </c>
      <c r="L453" s="197" t="str">
        <f t="shared" si="219"/>
        <v>Pirtobrutinibe</v>
      </c>
      <c r="M453" s="201">
        <f>M452</f>
        <v>470468.67999999976</v>
      </c>
      <c r="N453" s="201">
        <f>N452</f>
        <v>0</v>
      </c>
      <c r="O453" s="197" t="s">
        <v>180</v>
      </c>
      <c r="P453" s="197" t="str">
        <f t="shared" si="220"/>
        <v>Taxa de difusão em X anos: XX%</v>
      </c>
      <c r="Q453" s="202">
        <f>'Market Share'!L73</f>
        <v>0</v>
      </c>
      <c r="R453" s="203">
        <f ca="1">Resumo!M57</f>
        <v>0</v>
      </c>
      <c r="S453" s="204">
        <f ca="1">Resumo!M73</f>
        <v>-4124866.8092641174</v>
      </c>
    </row>
    <row r="454" spans="1:19" x14ac:dyDescent="0.3">
      <c r="A454" s="198" t="str">
        <f>IF(AND(VALUE(RIGHT(O454,2))&lt;=controle_formulario!$E$16,H454&lt;=Criterios!$C$31+controle_formulario!$I$16-1),"SIM","NÃO")</f>
        <v>NÃO</v>
      </c>
      <c r="B454" s="198">
        <f t="shared" si="215"/>
        <v>0</v>
      </c>
      <c r="C454" s="198" t="str">
        <f t="shared" si="216"/>
        <v>Formrol</v>
      </c>
      <c r="D454" s="179"/>
      <c r="E454" s="198" t="str">
        <f t="shared" si="217"/>
        <v>Planilha 1</v>
      </c>
      <c r="F454" s="198" t="str">
        <f t="shared" si="218"/>
        <v>Geral</v>
      </c>
      <c r="G454" s="198" t="s">
        <v>20</v>
      </c>
      <c r="H454" s="199">
        <f t="shared" si="221"/>
        <v>2028</v>
      </c>
      <c r="I454" s="200">
        <f t="shared" ca="1" si="221"/>
        <v>36.142742272880319</v>
      </c>
      <c r="J454" s="200" t="str">
        <f>IF(controle_formulario!$C$39=1,controle_formulario!$C$37,controle_formulario!$C$38)</f>
        <v>Epidemiologico Beneficiarios Saude Suplementar</v>
      </c>
      <c r="K454" s="197" t="s">
        <v>157</v>
      </c>
      <c r="L454" s="197" t="str">
        <f t="shared" si="219"/>
        <v>Pirtobrutinibe</v>
      </c>
      <c r="M454" s="201">
        <f t="shared" ref="M454:N461" si="222">M453</f>
        <v>470468.67999999976</v>
      </c>
      <c r="N454" s="201">
        <f t="shared" si="222"/>
        <v>0</v>
      </c>
      <c r="O454" s="197" t="s">
        <v>180</v>
      </c>
      <c r="P454" s="197" t="str">
        <f t="shared" si="220"/>
        <v>Taxa de difusão em X anos: XX%</v>
      </c>
      <c r="Q454" s="202">
        <f>'Market Share'!L74</f>
        <v>0</v>
      </c>
      <c r="R454" s="203">
        <f ca="1">Resumo!M58</f>
        <v>0</v>
      </c>
      <c r="S454" s="204">
        <f ca="1">Resumo!M74</f>
        <v>-4138105.4151356164</v>
      </c>
    </row>
    <row r="455" spans="1:19" x14ac:dyDescent="0.3">
      <c r="A455" s="198" t="str">
        <f>IF(AND(VALUE(RIGHT(O455,2))&lt;=controle_formulario!$E$16,H455&lt;=Criterios!$C$31+controle_formulario!$I$16-1),"SIM","NÃO")</f>
        <v>NÃO</v>
      </c>
      <c r="B455" s="198">
        <f t="shared" si="215"/>
        <v>0</v>
      </c>
      <c r="C455" s="198" t="str">
        <f t="shared" si="216"/>
        <v>Formrol</v>
      </c>
      <c r="D455" s="179"/>
      <c r="E455" s="198" t="str">
        <f t="shared" si="217"/>
        <v>Planilha 1</v>
      </c>
      <c r="F455" s="198" t="str">
        <f t="shared" si="218"/>
        <v>Geral</v>
      </c>
      <c r="G455" s="198" t="s">
        <v>21</v>
      </c>
      <c r="H455" s="199">
        <f t="shared" si="221"/>
        <v>2029</v>
      </c>
      <c r="I455" s="200">
        <f t="shared" ca="1" si="221"/>
        <v>36.250027878529522</v>
      </c>
      <c r="J455" s="200" t="str">
        <f>IF(controle_formulario!$C$39=1,controle_formulario!$C$37,controle_formulario!$C$38)</f>
        <v>Epidemiologico Beneficiarios Saude Suplementar</v>
      </c>
      <c r="K455" s="197" t="s">
        <v>157</v>
      </c>
      <c r="L455" s="197" t="str">
        <f t="shared" si="219"/>
        <v>Pirtobrutinibe</v>
      </c>
      <c r="M455" s="201">
        <f t="shared" si="222"/>
        <v>470468.67999999976</v>
      </c>
      <c r="N455" s="201">
        <f t="shared" si="222"/>
        <v>0</v>
      </c>
      <c r="O455" s="197" t="s">
        <v>180</v>
      </c>
      <c r="P455" s="197" t="str">
        <f t="shared" si="220"/>
        <v>Taxa de difusão em X anos: XX%</v>
      </c>
      <c r="Q455" s="202">
        <f>'Market Share'!L75</f>
        <v>0</v>
      </c>
      <c r="R455" s="203">
        <f ca="1">Resumo!M59</f>
        <v>0</v>
      </c>
      <c r="S455" s="204">
        <f ca="1">Resumo!M75</f>
        <v>-4150388.9087994657</v>
      </c>
    </row>
    <row r="456" spans="1:19" x14ac:dyDescent="0.3">
      <c r="A456" s="198" t="str">
        <f>IF(AND(VALUE(RIGHT(O456,2))&lt;=controle_formulario!$E$16,H456&lt;=Criterios!$C$31+controle_formulario!$I$16-1),"SIM","NÃO")</f>
        <v>NÃO</v>
      </c>
      <c r="B456" s="198">
        <f t="shared" si="215"/>
        <v>0</v>
      </c>
      <c r="C456" s="198" t="str">
        <f t="shared" si="216"/>
        <v>Formrol</v>
      </c>
      <c r="D456" s="179"/>
      <c r="E456" s="198" t="str">
        <f t="shared" si="217"/>
        <v>Planilha 1</v>
      </c>
      <c r="F456" s="198" t="str">
        <f t="shared" si="218"/>
        <v>Geral</v>
      </c>
      <c r="G456" s="198" t="s">
        <v>22</v>
      </c>
      <c r="H456" s="199">
        <f t="shared" si="221"/>
        <v>2030</v>
      </c>
      <c r="I456" s="200">
        <f t="shared" ca="1" si="221"/>
        <v>36.350592396534239</v>
      </c>
      <c r="J456" s="200" t="str">
        <f>IF(controle_formulario!$C$39=1,controle_formulario!$C$37,controle_formulario!$C$38)</f>
        <v>Epidemiologico Beneficiarios Saude Suplementar</v>
      </c>
      <c r="K456" s="197" t="s">
        <v>157</v>
      </c>
      <c r="L456" s="197" t="str">
        <f t="shared" si="219"/>
        <v>Pirtobrutinibe</v>
      </c>
      <c r="M456" s="201">
        <f t="shared" si="222"/>
        <v>470468.67999999976</v>
      </c>
      <c r="N456" s="201">
        <f t="shared" si="222"/>
        <v>0</v>
      </c>
      <c r="O456" s="197" t="s">
        <v>180</v>
      </c>
      <c r="P456" s="197" t="str">
        <f t="shared" si="220"/>
        <v>Taxa de difusão em X anos: XX%</v>
      </c>
      <c r="Q456" s="202">
        <f>'Market Share'!L76</f>
        <v>0</v>
      </c>
      <c r="R456" s="203">
        <f ca="1">Resumo!M60</f>
        <v>0</v>
      </c>
      <c r="S456" s="204">
        <f ca="1">Resumo!M76</f>
        <v>-4161902.8822933384</v>
      </c>
    </row>
    <row r="457" spans="1:19" x14ac:dyDescent="0.3">
      <c r="A457" s="198" t="str">
        <f>IF(AND(VALUE(RIGHT(O457,2))&lt;=controle_formulario!$E$16,H457&lt;=Criterios!$C$31+controle_formulario!$I$16-1),"SIM","NÃO")</f>
        <v>NÃO</v>
      </c>
      <c r="B457" s="198">
        <f t="shared" si="215"/>
        <v>0</v>
      </c>
      <c r="C457" s="198" t="str">
        <f t="shared" si="216"/>
        <v>Formrol</v>
      </c>
      <c r="D457" s="179"/>
      <c r="E457" s="198" t="str">
        <f t="shared" si="217"/>
        <v>Planilha 1</v>
      </c>
      <c r="F457" s="198" t="str">
        <f t="shared" si="218"/>
        <v>Geral</v>
      </c>
      <c r="G457" s="198" t="s">
        <v>23</v>
      </c>
      <c r="H457" s="199">
        <f t="shared" si="221"/>
        <v>2031</v>
      </c>
      <c r="I457" s="200">
        <f t="shared" si="221"/>
        <v>0</v>
      </c>
      <c r="J457" s="200" t="str">
        <f>IF(controle_formulario!$C$39=1,controle_formulario!$C$37,controle_formulario!$C$38)</f>
        <v>Epidemiologico Beneficiarios Saude Suplementar</v>
      </c>
      <c r="K457" s="197" t="s">
        <v>157</v>
      </c>
      <c r="L457" s="197" t="str">
        <f t="shared" si="219"/>
        <v>Pirtobrutinibe</v>
      </c>
      <c r="M457" s="201">
        <f t="shared" si="222"/>
        <v>470468.67999999976</v>
      </c>
      <c r="N457" s="201">
        <f t="shared" si="222"/>
        <v>0</v>
      </c>
      <c r="O457" s="197" t="s">
        <v>180</v>
      </c>
      <c r="P457" s="197" t="str">
        <f t="shared" si="220"/>
        <v>Taxa de difusão em X anos: XX%</v>
      </c>
      <c r="Q457" s="202">
        <f>'Market Share'!L77</f>
        <v>0</v>
      </c>
      <c r="R457" s="203">
        <f ca="1">Resumo!M61</f>
        <v>0</v>
      </c>
      <c r="S457" s="204">
        <f ca="1">Resumo!M77</f>
        <v>0</v>
      </c>
    </row>
    <row r="458" spans="1:19" x14ac:dyDescent="0.3">
      <c r="A458" s="198" t="str">
        <f>IF(AND(VALUE(RIGHT(O458,2))&lt;=controle_formulario!$E$16,H458&lt;=Criterios!$C$31+controle_formulario!$I$16-1),"SIM","NÃO")</f>
        <v>NÃO</v>
      </c>
      <c r="B458" s="198">
        <f t="shared" si="215"/>
        <v>0</v>
      </c>
      <c r="C458" s="198" t="str">
        <f t="shared" si="216"/>
        <v>Formrol</v>
      </c>
      <c r="D458" s="179"/>
      <c r="E458" s="198" t="str">
        <f t="shared" si="217"/>
        <v>Planilha 1</v>
      </c>
      <c r="F458" s="198" t="str">
        <f t="shared" si="218"/>
        <v>Geral</v>
      </c>
      <c r="G458" s="198" t="s">
        <v>24</v>
      </c>
      <c r="H458" s="199">
        <f t="shared" si="221"/>
        <v>2032</v>
      </c>
      <c r="I458" s="200">
        <f t="shared" si="221"/>
        <v>0</v>
      </c>
      <c r="J458" s="200" t="str">
        <f>IF(controle_formulario!$C$39=1,controle_formulario!$C$37,controle_formulario!$C$38)</f>
        <v>Epidemiologico Beneficiarios Saude Suplementar</v>
      </c>
      <c r="K458" s="197" t="s">
        <v>157</v>
      </c>
      <c r="L458" s="197" t="str">
        <f t="shared" si="219"/>
        <v>Pirtobrutinibe</v>
      </c>
      <c r="M458" s="201">
        <f t="shared" si="222"/>
        <v>470468.67999999976</v>
      </c>
      <c r="N458" s="201">
        <f t="shared" si="222"/>
        <v>0</v>
      </c>
      <c r="O458" s="197" t="s">
        <v>180</v>
      </c>
      <c r="P458" s="197" t="str">
        <f t="shared" si="220"/>
        <v>Taxa de difusão em X anos: XX%</v>
      </c>
      <c r="Q458" s="202">
        <f>'Market Share'!L78</f>
        <v>0</v>
      </c>
      <c r="R458" s="203">
        <f ca="1">Resumo!M62</f>
        <v>0</v>
      </c>
      <c r="S458" s="204">
        <f ca="1">Resumo!M78</f>
        <v>0</v>
      </c>
    </row>
    <row r="459" spans="1:19" x14ac:dyDescent="0.3">
      <c r="A459" s="198" t="str">
        <f>IF(AND(VALUE(RIGHT(O459,2))&lt;=controle_formulario!$E$16,H459&lt;=Criterios!$C$31+controle_formulario!$I$16-1),"SIM","NÃO")</f>
        <v>NÃO</v>
      </c>
      <c r="B459" s="198">
        <f t="shared" si="215"/>
        <v>0</v>
      </c>
      <c r="C459" s="198" t="str">
        <f t="shared" si="216"/>
        <v>Formrol</v>
      </c>
      <c r="D459" s="179"/>
      <c r="E459" s="198" t="str">
        <f t="shared" si="217"/>
        <v>Planilha 1</v>
      </c>
      <c r="F459" s="198" t="str">
        <f t="shared" si="218"/>
        <v>Geral</v>
      </c>
      <c r="G459" s="198" t="s">
        <v>25</v>
      </c>
      <c r="H459" s="199">
        <f t="shared" si="221"/>
        <v>2033</v>
      </c>
      <c r="I459" s="200">
        <f t="shared" si="221"/>
        <v>0</v>
      </c>
      <c r="J459" s="200" t="str">
        <f>IF(controle_formulario!$C$39=1,controle_formulario!$C$37,controle_formulario!$C$38)</f>
        <v>Epidemiologico Beneficiarios Saude Suplementar</v>
      </c>
      <c r="K459" s="197" t="s">
        <v>157</v>
      </c>
      <c r="L459" s="197" t="str">
        <f t="shared" si="219"/>
        <v>Pirtobrutinibe</v>
      </c>
      <c r="M459" s="201">
        <f t="shared" si="222"/>
        <v>470468.67999999976</v>
      </c>
      <c r="N459" s="201">
        <f t="shared" si="222"/>
        <v>0</v>
      </c>
      <c r="O459" s="197" t="s">
        <v>180</v>
      </c>
      <c r="P459" s="197" t="str">
        <f t="shared" si="220"/>
        <v>Taxa de difusão em X anos: XX%</v>
      </c>
      <c r="Q459" s="202">
        <f>'Market Share'!L79</f>
        <v>0</v>
      </c>
      <c r="R459" s="203">
        <f ca="1">Resumo!M63</f>
        <v>0</v>
      </c>
      <c r="S459" s="204">
        <f ca="1">Resumo!M79</f>
        <v>0</v>
      </c>
    </row>
    <row r="460" spans="1:19" x14ac:dyDescent="0.3">
      <c r="A460" s="198" t="str">
        <f>IF(AND(VALUE(RIGHT(O460,2))&lt;=controle_formulario!$E$16,H460&lt;=Criterios!$C$31+controle_formulario!$I$16-1),"SIM","NÃO")</f>
        <v>NÃO</v>
      </c>
      <c r="B460" s="198">
        <f t="shared" si="215"/>
        <v>0</v>
      </c>
      <c r="C460" s="198" t="str">
        <f t="shared" si="216"/>
        <v>Formrol</v>
      </c>
      <c r="D460" s="179"/>
      <c r="E460" s="198" t="str">
        <f t="shared" si="217"/>
        <v>Planilha 1</v>
      </c>
      <c r="F460" s="198" t="str">
        <f t="shared" si="218"/>
        <v>Geral</v>
      </c>
      <c r="G460" s="198" t="s">
        <v>26</v>
      </c>
      <c r="H460" s="199">
        <f t="shared" si="221"/>
        <v>2034</v>
      </c>
      <c r="I460" s="200">
        <f t="shared" si="221"/>
        <v>0</v>
      </c>
      <c r="J460" s="200" t="str">
        <f>IF(controle_formulario!$C$39=1,controle_formulario!$C$37,controle_formulario!$C$38)</f>
        <v>Epidemiologico Beneficiarios Saude Suplementar</v>
      </c>
      <c r="K460" s="197" t="s">
        <v>157</v>
      </c>
      <c r="L460" s="197" t="str">
        <f t="shared" si="219"/>
        <v>Pirtobrutinibe</v>
      </c>
      <c r="M460" s="201">
        <f t="shared" si="222"/>
        <v>470468.67999999976</v>
      </c>
      <c r="N460" s="201">
        <f t="shared" si="222"/>
        <v>0</v>
      </c>
      <c r="O460" s="197" t="s">
        <v>180</v>
      </c>
      <c r="P460" s="197" t="str">
        <f t="shared" si="220"/>
        <v>Taxa de difusão em X anos: XX%</v>
      </c>
      <c r="Q460" s="202">
        <f>'Market Share'!L80</f>
        <v>0</v>
      </c>
      <c r="R460" s="203">
        <f ca="1">Resumo!M64</f>
        <v>0</v>
      </c>
      <c r="S460" s="204">
        <f ca="1">Resumo!M80</f>
        <v>0</v>
      </c>
    </row>
    <row r="461" spans="1:19" ht="15" thickBot="1" x14ac:dyDescent="0.35">
      <c r="A461" s="205" t="str">
        <f>IF(AND(VALUE(RIGHT(O461,2))&lt;=controle_formulario!$E$16,H461&lt;=Criterios!$C$31+controle_formulario!$I$16-1),"SIM","NÃO")</f>
        <v>NÃO</v>
      </c>
      <c r="B461" s="205">
        <f t="shared" si="215"/>
        <v>0</v>
      </c>
      <c r="C461" s="205" t="str">
        <f t="shared" si="216"/>
        <v>Formrol</v>
      </c>
      <c r="D461" s="180"/>
      <c r="E461" s="205" t="str">
        <f t="shared" si="217"/>
        <v>Planilha 1</v>
      </c>
      <c r="F461" s="205" t="str">
        <f t="shared" si="218"/>
        <v>Geral</v>
      </c>
      <c r="G461" s="205" t="s">
        <v>27</v>
      </c>
      <c r="H461" s="206">
        <f t="shared" si="221"/>
        <v>2035</v>
      </c>
      <c r="I461" s="207">
        <f t="shared" si="221"/>
        <v>0</v>
      </c>
      <c r="J461" s="207" t="str">
        <f>IF(controle_formulario!$C$39=1,controle_formulario!$C$37,controle_formulario!$C$38)</f>
        <v>Epidemiologico Beneficiarios Saude Suplementar</v>
      </c>
      <c r="K461" s="208" t="s">
        <v>157</v>
      </c>
      <c r="L461" s="208" t="str">
        <f t="shared" si="219"/>
        <v>Pirtobrutinibe</v>
      </c>
      <c r="M461" s="201">
        <f t="shared" si="222"/>
        <v>470468.67999999976</v>
      </c>
      <c r="N461" s="201">
        <f t="shared" si="222"/>
        <v>0</v>
      </c>
      <c r="O461" s="214" t="s">
        <v>180</v>
      </c>
      <c r="P461" s="214" t="str">
        <f t="shared" si="220"/>
        <v>Taxa de difusão em X anos: XX%</v>
      </c>
      <c r="Q461" s="209">
        <f>'Market Share'!L81</f>
        <v>0</v>
      </c>
      <c r="R461" s="216">
        <f ca="1">Resumo!M65</f>
        <v>0</v>
      </c>
      <c r="S461" s="217">
        <f ca="1">Resumo!M81</f>
        <v>0</v>
      </c>
    </row>
    <row r="462" spans="1:19" x14ac:dyDescent="0.3">
      <c r="A462" s="189" t="str">
        <f>IF(AND(VALUE(RIGHT(O462,2))&lt;=controle_formulario!$E$16,VALUE(RIGHT(K462,2))&lt;=controle_formulario!$C$10,H462&lt;=Criterios!$C$31+controle_formulario!$I$16-1),"SIM","NÃO")</f>
        <v>NÃO</v>
      </c>
      <c r="B462" s="189">
        <f t="shared" si="215"/>
        <v>0</v>
      </c>
      <c r="C462" s="189" t="str">
        <f t="shared" si="216"/>
        <v>Formrol</v>
      </c>
      <c r="D462" s="177"/>
      <c r="E462" s="189" t="str">
        <f t="shared" si="217"/>
        <v>Planilha 1</v>
      </c>
      <c r="F462" s="189" t="str">
        <f t="shared" si="218"/>
        <v>Geral</v>
      </c>
      <c r="G462" s="189" t="s">
        <v>18</v>
      </c>
      <c r="H462" s="190">
        <f>H452</f>
        <v>2026</v>
      </c>
      <c r="I462" s="191">
        <f ca="1">I452</f>
        <v>35.902021176061034</v>
      </c>
      <c r="J462" s="191" t="str">
        <f>IF(controle_formulario!$C$39=1,controle_formulario!$C$37,controle_formulario!$C$38)</f>
        <v>Epidemiologico Beneficiarios Saude Suplementar</v>
      </c>
      <c r="K462" s="192" t="s">
        <v>168</v>
      </c>
      <c r="L462" s="192" t="str">
        <f t="shared" ref="L462:L471" si="223">trat.a</f>
        <v xml:space="preserve"> Conjunto de Tratamentos-Padrão</v>
      </c>
      <c r="M462" s="193" t="e">
        <f>Resumo!$D$39</f>
        <v>#REF!</v>
      </c>
      <c r="N462" s="193">
        <f>Resumo!$D$48</f>
        <v>0</v>
      </c>
      <c r="O462" s="192" t="s">
        <v>180</v>
      </c>
      <c r="P462" s="192" t="str">
        <f t="shared" si="220"/>
        <v>Taxa de difusão em X anos: XX%</v>
      </c>
      <c r="Q462" s="194">
        <f>'Market Share'!M72</f>
        <v>0</v>
      </c>
      <c r="R462" s="195">
        <f ca="1">R452</f>
        <v>0</v>
      </c>
      <c r="S462" s="196">
        <f ca="1">S452</f>
        <v>-4110544.4385289042</v>
      </c>
    </row>
    <row r="463" spans="1:19" x14ac:dyDescent="0.3">
      <c r="A463" s="198" t="str">
        <f>IF(AND(VALUE(RIGHT(O463,2))&lt;=controle_formulario!$E$16,VALUE(RIGHT(K463,2))&lt;=controle_formulario!$C$10,H463&lt;=Criterios!$C$31+controle_formulario!$I$16-1),"SIM","NÃO")</f>
        <v>NÃO</v>
      </c>
      <c r="B463" s="198">
        <f t="shared" si="215"/>
        <v>0</v>
      </c>
      <c r="C463" s="198" t="str">
        <f t="shared" si="216"/>
        <v>Formrol</v>
      </c>
      <c r="D463" s="179"/>
      <c r="E463" s="198" t="str">
        <f t="shared" si="217"/>
        <v>Planilha 1</v>
      </c>
      <c r="F463" s="198" t="str">
        <f t="shared" si="218"/>
        <v>Geral</v>
      </c>
      <c r="G463" s="198" t="s">
        <v>19</v>
      </c>
      <c r="H463" s="199">
        <f t="shared" ref="H463:I471" si="224">H453</f>
        <v>2027</v>
      </c>
      <c r="I463" s="200">
        <f t="shared" ca="1" si="224"/>
        <v>36.027114594978322</v>
      </c>
      <c r="J463" s="200" t="str">
        <f>IF(controle_formulario!$C$39=1,controle_formulario!$C$37,controle_formulario!$C$38)</f>
        <v>Epidemiologico Beneficiarios Saude Suplementar</v>
      </c>
      <c r="K463" s="197" t="s">
        <v>168</v>
      </c>
      <c r="L463" s="197" t="str">
        <f t="shared" si="223"/>
        <v xml:space="preserve"> Conjunto de Tratamentos-Padrão</v>
      </c>
      <c r="M463" s="201" t="e">
        <f>M462</f>
        <v>#REF!</v>
      </c>
      <c r="N463" s="201">
        <f>N462</f>
        <v>0</v>
      </c>
      <c r="O463" s="197" t="s">
        <v>180</v>
      </c>
      <c r="P463" s="197" t="str">
        <f t="shared" si="220"/>
        <v>Taxa de difusão em X anos: XX%</v>
      </c>
      <c r="Q463" s="202">
        <f>'Market Share'!M73</f>
        <v>0</v>
      </c>
      <c r="R463" s="203">
        <f t="shared" ref="R463:S471" ca="1" si="225">R453</f>
        <v>0</v>
      </c>
      <c r="S463" s="204">
        <f t="shared" ca="1" si="225"/>
        <v>-4124866.8092641174</v>
      </c>
    </row>
    <row r="464" spans="1:19" x14ac:dyDescent="0.3">
      <c r="A464" s="198" t="str">
        <f>IF(AND(VALUE(RIGHT(O464,2))&lt;=controle_formulario!$E$16,VALUE(RIGHT(K464,2))&lt;=controle_formulario!$C$10,H464&lt;=Criterios!$C$31+controle_formulario!$I$16-1),"SIM","NÃO")</f>
        <v>NÃO</v>
      </c>
      <c r="B464" s="198">
        <f t="shared" si="215"/>
        <v>0</v>
      </c>
      <c r="C464" s="198" t="str">
        <f t="shared" si="216"/>
        <v>Formrol</v>
      </c>
      <c r="D464" s="179"/>
      <c r="E464" s="198" t="str">
        <f t="shared" si="217"/>
        <v>Planilha 1</v>
      </c>
      <c r="F464" s="198" t="str">
        <f t="shared" si="218"/>
        <v>Geral</v>
      </c>
      <c r="G464" s="198" t="s">
        <v>20</v>
      </c>
      <c r="H464" s="199">
        <f t="shared" si="224"/>
        <v>2028</v>
      </c>
      <c r="I464" s="200">
        <f t="shared" ca="1" si="224"/>
        <v>36.142742272880319</v>
      </c>
      <c r="J464" s="200" t="str">
        <f>IF(controle_formulario!$C$39=1,controle_formulario!$C$37,controle_formulario!$C$38)</f>
        <v>Epidemiologico Beneficiarios Saude Suplementar</v>
      </c>
      <c r="K464" s="197" t="s">
        <v>168</v>
      </c>
      <c r="L464" s="197" t="str">
        <f t="shared" si="223"/>
        <v xml:space="preserve"> Conjunto de Tratamentos-Padrão</v>
      </c>
      <c r="M464" s="201" t="e">
        <f t="shared" ref="M464:N471" si="226">M463</f>
        <v>#REF!</v>
      </c>
      <c r="N464" s="201">
        <f t="shared" si="226"/>
        <v>0</v>
      </c>
      <c r="O464" s="197" t="s">
        <v>180</v>
      </c>
      <c r="P464" s="197" t="str">
        <f t="shared" si="220"/>
        <v>Taxa de difusão em X anos: XX%</v>
      </c>
      <c r="Q464" s="202">
        <f>'Market Share'!M74</f>
        <v>0</v>
      </c>
      <c r="R464" s="203">
        <f t="shared" ca="1" si="225"/>
        <v>0</v>
      </c>
      <c r="S464" s="204">
        <f t="shared" ca="1" si="225"/>
        <v>-4138105.4151356164</v>
      </c>
    </row>
    <row r="465" spans="1:19" x14ac:dyDescent="0.3">
      <c r="A465" s="198" t="str">
        <f>IF(AND(VALUE(RIGHT(O465,2))&lt;=controle_formulario!$E$16,VALUE(RIGHT(K465,2))&lt;=controle_formulario!$C$10,H465&lt;=Criterios!$C$31+controle_formulario!$I$16-1),"SIM","NÃO")</f>
        <v>NÃO</v>
      </c>
      <c r="B465" s="198">
        <f t="shared" si="215"/>
        <v>0</v>
      </c>
      <c r="C465" s="198" t="str">
        <f t="shared" si="216"/>
        <v>Formrol</v>
      </c>
      <c r="D465" s="179"/>
      <c r="E465" s="198" t="str">
        <f t="shared" si="217"/>
        <v>Planilha 1</v>
      </c>
      <c r="F465" s="198" t="str">
        <f t="shared" si="218"/>
        <v>Geral</v>
      </c>
      <c r="G465" s="198" t="s">
        <v>21</v>
      </c>
      <c r="H465" s="199">
        <f t="shared" si="224"/>
        <v>2029</v>
      </c>
      <c r="I465" s="200">
        <f t="shared" ca="1" si="224"/>
        <v>36.250027878529522</v>
      </c>
      <c r="J465" s="200" t="str">
        <f>IF(controle_formulario!$C$39=1,controle_formulario!$C$37,controle_formulario!$C$38)</f>
        <v>Epidemiologico Beneficiarios Saude Suplementar</v>
      </c>
      <c r="K465" s="197" t="s">
        <v>168</v>
      </c>
      <c r="L465" s="197" t="str">
        <f t="shared" si="223"/>
        <v xml:space="preserve"> Conjunto de Tratamentos-Padrão</v>
      </c>
      <c r="M465" s="201" t="e">
        <f t="shared" si="226"/>
        <v>#REF!</v>
      </c>
      <c r="N465" s="201">
        <f t="shared" si="226"/>
        <v>0</v>
      </c>
      <c r="O465" s="197" t="s">
        <v>180</v>
      </c>
      <c r="P465" s="197" t="str">
        <f t="shared" si="220"/>
        <v>Taxa de difusão em X anos: XX%</v>
      </c>
      <c r="Q465" s="202">
        <f>'Market Share'!M75</f>
        <v>0</v>
      </c>
      <c r="R465" s="203">
        <f t="shared" ca="1" si="225"/>
        <v>0</v>
      </c>
      <c r="S465" s="204">
        <f t="shared" ca="1" si="225"/>
        <v>-4150388.9087994657</v>
      </c>
    </row>
    <row r="466" spans="1:19" x14ac:dyDescent="0.3">
      <c r="A466" s="198" t="str">
        <f>IF(AND(VALUE(RIGHT(O466,2))&lt;=controle_formulario!$E$16,VALUE(RIGHT(K466,2))&lt;=controle_formulario!$C$10,H466&lt;=Criterios!$C$31+controle_formulario!$I$16-1),"SIM","NÃO")</f>
        <v>NÃO</v>
      </c>
      <c r="B466" s="198">
        <f t="shared" si="215"/>
        <v>0</v>
      </c>
      <c r="C466" s="198" t="str">
        <f t="shared" si="216"/>
        <v>Formrol</v>
      </c>
      <c r="D466" s="179"/>
      <c r="E466" s="198" t="str">
        <f t="shared" si="217"/>
        <v>Planilha 1</v>
      </c>
      <c r="F466" s="198" t="str">
        <f t="shared" si="218"/>
        <v>Geral</v>
      </c>
      <c r="G466" s="198" t="s">
        <v>22</v>
      </c>
      <c r="H466" s="199">
        <f t="shared" si="224"/>
        <v>2030</v>
      </c>
      <c r="I466" s="200">
        <f t="shared" ca="1" si="224"/>
        <v>36.350592396534239</v>
      </c>
      <c r="J466" s="200" t="str">
        <f>IF(controle_formulario!$C$39=1,controle_formulario!$C$37,controle_formulario!$C$38)</f>
        <v>Epidemiologico Beneficiarios Saude Suplementar</v>
      </c>
      <c r="K466" s="197" t="s">
        <v>168</v>
      </c>
      <c r="L466" s="197" t="str">
        <f t="shared" si="223"/>
        <v xml:space="preserve"> Conjunto de Tratamentos-Padrão</v>
      </c>
      <c r="M466" s="201" t="e">
        <f t="shared" si="226"/>
        <v>#REF!</v>
      </c>
      <c r="N466" s="201">
        <f t="shared" si="226"/>
        <v>0</v>
      </c>
      <c r="O466" s="197" t="s">
        <v>180</v>
      </c>
      <c r="P466" s="197" t="str">
        <f t="shared" si="220"/>
        <v>Taxa de difusão em X anos: XX%</v>
      </c>
      <c r="Q466" s="202">
        <f>'Market Share'!M76</f>
        <v>0</v>
      </c>
      <c r="R466" s="203">
        <f t="shared" ca="1" si="225"/>
        <v>0</v>
      </c>
      <c r="S466" s="204">
        <f t="shared" ca="1" si="225"/>
        <v>-4161902.8822933384</v>
      </c>
    </row>
    <row r="467" spans="1:19" x14ac:dyDescent="0.3">
      <c r="A467" s="198" t="str">
        <f>IF(AND(VALUE(RIGHT(O467,2))&lt;=controle_formulario!$E$16,VALUE(RIGHT(K467,2))&lt;=controle_formulario!$C$10,H467&lt;=Criterios!$C$31+controle_formulario!$I$16-1),"SIM","NÃO")</f>
        <v>NÃO</v>
      </c>
      <c r="B467" s="198">
        <f t="shared" si="215"/>
        <v>0</v>
      </c>
      <c r="C467" s="198" t="str">
        <f t="shared" si="216"/>
        <v>Formrol</v>
      </c>
      <c r="D467" s="179"/>
      <c r="E467" s="198" t="str">
        <f t="shared" si="217"/>
        <v>Planilha 1</v>
      </c>
      <c r="F467" s="198" t="str">
        <f t="shared" si="218"/>
        <v>Geral</v>
      </c>
      <c r="G467" s="198" t="s">
        <v>23</v>
      </c>
      <c r="H467" s="199">
        <f t="shared" si="224"/>
        <v>2031</v>
      </c>
      <c r="I467" s="200">
        <f t="shared" si="224"/>
        <v>0</v>
      </c>
      <c r="J467" s="200" t="str">
        <f>IF(controle_formulario!$C$39=1,controle_formulario!$C$37,controle_formulario!$C$38)</f>
        <v>Epidemiologico Beneficiarios Saude Suplementar</v>
      </c>
      <c r="K467" s="197" t="s">
        <v>168</v>
      </c>
      <c r="L467" s="197" t="str">
        <f t="shared" si="223"/>
        <v xml:space="preserve"> Conjunto de Tratamentos-Padrão</v>
      </c>
      <c r="M467" s="201" t="e">
        <f t="shared" si="226"/>
        <v>#REF!</v>
      </c>
      <c r="N467" s="201">
        <f t="shared" si="226"/>
        <v>0</v>
      </c>
      <c r="O467" s="197" t="s">
        <v>180</v>
      </c>
      <c r="P467" s="197" t="str">
        <f t="shared" si="220"/>
        <v>Taxa de difusão em X anos: XX%</v>
      </c>
      <c r="Q467" s="202">
        <f>'Market Share'!M77</f>
        <v>0</v>
      </c>
      <c r="R467" s="203">
        <f t="shared" ca="1" si="225"/>
        <v>0</v>
      </c>
      <c r="S467" s="204">
        <f t="shared" ca="1" si="225"/>
        <v>0</v>
      </c>
    </row>
    <row r="468" spans="1:19" x14ac:dyDescent="0.3">
      <c r="A468" s="198" t="str">
        <f>IF(AND(VALUE(RIGHT(O468,2))&lt;=controle_formulario!$E$16,VALUE(RIGHT(K468,2))&lt;=controle_formulario!$C$10,H468&lt;=Criterios!$C$31+controle_formulario!$I$16-1),"SIM","NÃO")</f>
        <v>NÃO</v>
      </c>
      <c r="B468" s="198">
        <f t="shared" si="215"/>
        <v>0</v>
      </c>
      <c r="C468" s="198" t="str">
        <f t="shared" si="216"/>
        <v>Formrol</v>
      </c>
      <c r="D468" s="179"/>
      <c r="E468" s="198" t="str">
        <f t="shared" si="217"/>
        <v>Planilha 1</v>
      </c>
      <c r="F468" s="198" t="str">
        <f t="shared" si="218"/>
        <v>Geral</v>
      </c>
      <c r="G468" s="198" t="s">
        <v>24</v>
      </c>
      <c r="H468" s="199">
        <f t="shared" si="224"/>
        <v>2032</v>
      </c>
      <c r="I468" s="200">
        <f t="shared" si="224"/>
        <v>0</v>
      </c>
      <c r="J468" s="200" t="str">
        <f>IF(controle_formulario!$C$39=1,controle_formulario!$C$37,controle_formulario!$C$38)</f>
        <v>Epidemiologico Beneficiarios Saude Suplementar</v>
      </c>
      <c r="K468" s="197" t="s">
        <v>168</v>
      </c>
      <c r="L468" s="197" t="str">
        <f t="shared" si="223"/>
        <v xml:space="preserve"> Conjunto de Tratamentos-Padrão</v>
      </c>
      <c r="M468" s="201" t="e">
        <f t="shared" si="226"/>
        <v>#REF!</v>
      </c>
      <c r="N468" s="201">
        <f t="shared" si="226"/>
        <v>0</v>
      </c>
      <c r="O468" s="197" t="s">
        <v>180</v>
      </c>
      <c r="P468" s="197" t="str">
        <f t="shared" si="220"/>
        <v>Taxa de difusão em X anos: XX%</v>
      </c>
      <c r="Q468" s="202">
        <f>'Market Share'!M78</f>
        <v>0</v>
      </c>
      <c r="R468" s="203">
        <f t="shared" ca="1" si="225"/>
        <v>0</v>
      </c>
      <c r="S468" s="204">
        <f t="shared" ca="1" si="225"/>
        <v>0</v>
      </c>
    </row>
    <row r="469" spans="1:19" x14ac:dyDescent="0.3">
      <c r="A469" s="198" t="str">
        <f>IF(AND(VALUE(RIGHT(O469,2))&lt;=controle_formulario!$E$16,VALUE(RIGHT(K469,2))&lt;=controle_formulario!$C$10,H469&lt;=Criterios!$C$31+controle_formulario!$I$16-1),"SIM","NÃO")</f>
        <v>NÃO</v>
      </c>
      <c r="B469" s="198">
        <f t="shared" si="215"/>
        <v>0</v>
      </c>
      <c r="C469" s="198" t="str">
        <f t="shared" si="216"/>
        <v>Formrol</v>
      </c>
      <c r="D469" s="179"/>
      <c r="E469" s="198" t="str">
        <f t="shared" si="217"/>
        <v>Planilha 1</v>
      </c>
      <c r="F469" s="198" t="str">
        <f t="shared" si="218"/>
        <v>Geral</v>
      </c>
      <c r="G469" s="198" t="s">
        <v>25</v>
      </c>
      <c r="H469" s="199">
        <f t="shared" si="224"/>
        <v>2033</v>
      </c>
      <c r="I469" s="200">
        <f t="shared" si="224"/>
        <v>0</v>
      </c>
      <c r="J469" s="200" t="str">
        <f>IF(controle_formulario!$C$39=1,controle_formulario!$C$37,controle_formulario!$C$38)</f>
        <v>Epidemiologico Beneficiarios Saude Suplementar</v>
      </c>
      <c r="K469" s="197" t="s">
        <v>168</v>
      </c>
      <c r="L469" s="197" t="str">
        <f t="shared" si="223"/>
        <v xml:space="preserve"> Conjunto de Tratamentos-Padrão</v>
      </c>
      <c r="M469" s="201" t="e">
        <f t="shared" si="226"/>
        <v>#REF!</v>
      </c>
      <c r="N469" s="201">
        <f t="shared" si="226"/>
        <v>0</v>
      </c>
      <c r="O469" s="197" t="s">
        <v>180</v>
      </c>
      <c r="P469" s="197" t="str">
        <f t="shared" si="220"/>
        <v>Taxa de difusão em X anos: XX%</v>
      </c>
      <c r="Q469" s="202">
        <f>'Market Share'!M79</f>
        <v>0</v>
      </c>
      <c r="R469" s="203">
        <f t="shared" ca="1" si="225"/>
        <v>0</v>
      </c>
      <c r="S469" s="204">
        <f t="shared" ca="1" si="225"/>
        <v>0</v>
      </c>
    </row>
    <row r="470" spans="1:19" x14ac:dyDescent="0.3">
      <c r="A470" s="198" t="str">
        <f>IF(AND(VALUE(RIGHT(O470,2))&lt;=controle_formulario!$E$16,VALUE(RIGHT(K470,2))&lt;=controle_formulario!$C$10,H470&lt;=Criterios!$C$31+controle_formulario!$I$16-1),"SIM","NÃO")</f>
        <v>NÃO</v>
      </c>
      <c r="B470" s="198">
        <f t="shared" si="215"/>
        <v>0</v>
      </c>
      <c r="C470" s="198" t="str">
        <f t="shared" si="216"/>
        <v>Formrol</v>
      </c>
      <c r="D470" s="179"/>
      <c r="E470" s="198" t="str">
        <f t="shared" si="217"/>
        <v>Planilha 1</v>
      </c>
      <c r="F470" s="198" t="str">
        <f t="shared" si="218"/>
        <v>Geral</v>
      </c>
      <c r="G470" s="198" t="s">
        <v>26</v>
      </c>
      <c r="H470" s="199">
        <f t="shared" si="224"/>
        <v>2034</v>
      </c>
      <c r="I470" s="200">
        <f t="shared" si="224"/>
        <v>0</v>
      </c>
      <c r="J470" s="200" t="str">
        <f>IF(controle_formulario!$C$39=1,controle_formulario!$C$37,controle_formulario!$C$38)</f>
        <v>Epidemiologico Beneficiarios Saude Suplementar</v>
      </c>
      <c r="K470" s="197" t="s">
        <v>168</v>
      </c>
      <c r="L470" s="197" t="str">
        <f t="shared" si="223"/>
        <v xml:space="preserve"> Conjunto de Tratamentos-Padrão</v>
      </c>
      <c r="M470" s="201" t="e">
        <f t="shared" si="226"/>
        <v>#REF!</v>
      </c>
      <c r="N470" s="201">
        <f t="shared" si="226"/>
        <v>0</v>
      </c>
      <c r="O470" s="197" t="s">
        <v>180</v>
      </c>
      <c r="P470" s="197" t="str">
        <f t="shared" si="220"/>
        <v>Taxa de difusão em X anos: XX%</v>
      </c>
      <c r="Q470" s="202">
        <f>'Market Share'!M80</f>
        <v>0</v>
      </c>
      <c r="R470" s="203">
        <f t="shared" ca="1" si="225"/>
        <v>0</v>
      </c>
      <c r="S470" s="204">
        <f t="shared" ca="1" si="225"/>
        <v>0</v>
      </c>
    </row>
    <row r="471" spans="1:19" ht="15" thickBot="1" x14ac:dyDescent="0.35">
      <c r="A471" s="205" t="str">
        <f>IF(AND(VALUE(RIGHT(O471,2))&lt;=controle_formulario!$E$16,VALUE(RIGHT(K471,2))&lt;=controle_formulario!$C$10,H471&lt;=Criterios!$C$31+controle_formulario!$I$16-1),"SIM","NÃO")</f>
        <v>NÃO</v>
      </c>
      <c r="B471" s="205">
        <f t="shared" si="215"/>
        <v>0</v>
      </c>
      <c r="C471" s="205" t="str">
        <f t="shared" si="216"/>
        <v>Formrol</v>
      </c>
      <c r="D471" s="180"/>
      <c r="E471" s="205" t="str">
        <f t="shared" si="217"/>
        <v>Planilha 1</v>
      </c>
      <c r="F471" s="205" t="str">
        <f t="shared" si="218"/>
        <v>Geral</v>
      </c>
      <c r="G471" s="205" t="s">
        <v>27</v>
      </c>
      <c r="H471" s="212">
        <f t="shared" si="224"/>
        <v>2035</v>
      </c>
      <c r="I471" s="213">
        <f t="shared" si="224"/>
        <v>0</v>
      </c>
      <c r="J471" s="207" t="str">
        <f>IF(controle_formulario!$C$39=1,controle_formulario!$C$37,controle_formulario!$C$38)</f>
        <v>Epidemiologico Beneficiarios Saude Suplementar</v>
      </c>
      <c r="K471" s="208" t="s">
        <v>168</v>
      </c>
      <c r="L471" s="208" t="str">
        <f t="shared" si="223"/>
        <v xml:space="preserve"> Conjunto de Tratamentos-Padrão</v>
      </c>
      <c r="M471" s="201" t="e">
        <f t="shared" si="226"/>
        <v>#REF!</v>
      </c>
      <c r="N471" s="201">
        <f t="shared" si="226"/>
        <v>0</v>
      </c>
      <c r="O471" s="214" t="s">
        <v>180</v>
      </c>
      <c r="P471" s="214" t="str">
        <f t="shared" si="220"/>
        <v>Taxa de difusão em X anos: XX%</v>
      </c>
      <c r="Q471" s="209">
        <f>'Market Share'!M81</f>
        <v>0</v>
      </c>
      <c r="R471" s="216">
        <f t="shared" ca="1" si="225"/>
        <v>0</v>
      </c>
      <c r="S471" s="217">
        <f t="shared" ca="1" si="225"/>
        <v>0</v>
      </c>
    </row>
    <row r="472" spans="1:19" x14ac:dyDescent="0.3">
      <c r="A472" s="189" t="str">
        <f>IF(AND(VALUE(RIGHT(O472,2))&lt;=controle_formulario!$E$16,VALUE(RIGHT(K472,2))&lt;=controle_formulario!$C$10,H472&lt;=Criterios!$C$31+controle_formulario!$I$16-1),"SIM","NÃO")</f>
        <v>NÃO</v>
      </c>
      <c r="B472" s="189">
        <f t="shared" si="215"/>
        <v>0</v>
      </c>
      <c r="C472" s="189" t="str">
        <f t="shared" si="216"/>
        <v>Formrol</v>
      </c>
      <c r="D472" s="177"/>
      <c r="E472" s="189" t="str">
        <f t="shared" si="217"/>
        <v>Planilha 1</v>
      </c>
      <c r="F472" s="189" t="str">
        <f t="shared" si="218"/>
        <v>Geral</v>
      </c>
      <c r="G472" s="189" t="s">
        <v>18</v>
      </c>
      <c r="H472" s="190">
        <f>H462</f>
        <v>2026</v>
      </c>
      <c r="I472" s="191">
        <f ca="1">I462</f>
        <v>35.902021176061034</v>
      </c>
      <c r="J472" s="191" t="str">
        <f>IF(controle_formulario!$C$39=1,controle_formulario!$C$37,controle_formulario!$C$38)</f>
        <v>Epidemiologico Beneficiarios Saude Suplementar</v>
      </c>
      <c r="K472" s="192" t="s">
        <v>169</v>
      </c>
      <c r="L472" s="192">
        <f t="shared" ref="L472:L481" si="227">trat.b</f>
        <v>0</v>
      </c>
      <c r="M472" s="193">
        <f>Resumo!$D$40</f>
        <v>0</v>
      </c>
      <c r="N472" s="193">
        <f>Resumo!$D$49</f>
        <v>0</v>
      </c>
      <c r="O472" s="192" t="s">
        <v>180</v>
      </c>
      <c r="P472" s="192" t="str">
        <f t="shared" si="220"/>
        <v>Taxa de difusão em X anos: XX%</v>
      </c>
      <c r="Q472" s="194">
        <f>'Market Share'!N72</f>
        <v>0</v>
      </c>
      <c r="R472" s="195">
        <f ca="1">R462</f>
        <v>0</v>
      </c>
      <c r="S472" s="196">
        <f ca="1">S462</f>
        <v>-4110544.4385289042</v>
      </c>
    </row>
    <row r="473" spans="1:19" x14ac:dyDescent="0.3">
      <c r="A473" s="198" t="str">
        <f>IF(AND(VALUE(RIGHT(O473,2))&lt;=controle_formulario!$E$16,VALUE(RIGHT(K473,2))&lt;=controle_formulario!$C$10,H473&lt;=Criterios!$C$31+controle_formulario!$I$16-1),"SIM","NÃO")</f>
        <v>NÃO</v>
      </c>
      <c r="B473" s="198">
        <f t="shared" si="215"/>
        <v>0</v>
      </c>
      <c r="C473" s="198" t="str">
        <f t="shared" si="216"/>
        <v>Formrol</v>
      </c>
      <c r="D473" s="179"/>
      <c r="E473" s="198" t="str">
        <f t="shared" si="217"/>
        <v>Planilha 1</v>
      </c>
      <c r="F473" s="198" t="str">
        <f t="shared" si="218"/>
        <v>Geral</v>
      </c>
      <c r="G473" s="198" t="s">
        <v>19</v>
      </c>
      <c r="H473" s="199">
        <f t="shared" ref="H473:I481" si="228">H463</f>
        <v>2027</v>
      </c>
      <c r="I473" s="200">
        <f t="shared" ca="1" si="228"/>
        <v>36.027114594978322</v>
      </c>
      <c r="J473" s="200" t="str">
        <f>IF(controle_formulario!$C$39=1,controle_formulario!$C$37,controle_formulario!$C$38)</f>
        <v>Epidemiologico Beneficiarios Saude Suplementar</v>
      </c>
      <c r="K473" s="197" t="s">
        <v>169</v>
      </c>
      <c r="L473" s="197">
        <f t="shared" si="227"/>
        <v>0</v>
      </c>
      <c r="M473" s="201">
        <f>M472</f>
        <v>0</v>
      </c>
      <c r="N473" s="201">
        <f>N472</f>
        <v>0</v>
      </c>
      <c r="O473" s="197" t="s">
        <v>180</v>
      </c>
      <c r="P473" s="197" t="str">
        <f t="shared" si="220"/>
        <v>Taxa de difusão em X anos: XX%</v>
      </c>
      <c r="Q473" s="202">
        <f>'Market Share'!N73</f>
        <v>0</v>
      </c>
      <c r="R473" s="203">
        <f t="shared" ref="R473:S481" ca="1" si="229">R463</f>
        <v>0</v>
      </c>
      <c r="S473" s="204">
        <f t="shared" ca="1" si="229"/>
        <v>-4124866.8092641174</v>
      </c>
    </row>
    <row r="474" spans="1:19" x14ac:dyDescent="0.3">
      <c r="A474" s="198" t="str">
        <f>IF(AND(VALUE(RIGHT(O474,2))&lt;=controle_formulario!$E$16,VALUE(RIGHT(K474,2))&lt;=controle_formulario!$C$10,H474&lt;=Criterios!$C$31+controle_formulario!$I$16-1),"SIM","NÃO")</f>
        <v>NÃO</v>
      </c>
      <c r="B474" s="198">
        <f t="shared" si="215"/>
        <v>0</v>
      </c>
      <c r="C474" s="198" t="str">
        <f t="shared" si="216"/>
        <v>Formrol</v>
      </c>
      <c r="D474" s="179"/>
      <c r="E474" s="198" t="str">
        <f t="shared" si="217"/>
        <v>Planilha 1</v>
      </c>
      <c r="F474" s="198" t="str">
        <f t="shared" si="218"/>
        <v>Geral</v>
      </c>
      <c r="G474" s="198" t="s">
        <v>20</v>
      </c>
      <c r="H474" s="199">
        <f t="shared" si="228"/>
        <v>2028</v>
      </c>
      <c r="I474" s="200">
        <f t="shared" ca="1" si="228"/>
        <v>36.142742272880319</v>
      </c>
      <c r="J474" s="200" t="str">
        <f>IF(controle_formulario!$C$39=1,controle_formulario!$C$37,controle_formulario!$C$38)</f>
        <v>Epidemiologico Beneficiarios Saude Suplementar</v>
      </c>
      <c r="K474" s="197" t="s">
        <v>169</v>
      </c>
      <c r="L474" s="197">
        <f t="shared" si="227"/>
        <v>0</v>
      </c>
      <c r="M474" s="201">
        <f t="shared" ref="M474:N481" si="230">M473</f>
        <v>0</v>
      </c>
      <c r="N474" s="201">
        <f t="shared" si="230"/>
        <v>0</v>
      </c>
      <c r="O474" s="197" t="s">
        <v>180</v>
      </c>
      <c r="P474" s="197" t="str">
        <f t="shared" si="220"/>
        <v>Taxa de difusão em X anos: XX%</v>
      </c>
      <c r="Q474" s="202">
        <f>'Market Share'!N74</f>
        <v>0</v>
      </c>
      <c r="R474" s="203">
        <f t="shared" ca="1" si="229"/>
        <v>0</v>
      </c>
      <c r="S474" s="204">
        <f t="shared" ca="1" si="229"/>
        <v>-4138105.4151356164</v>
      </c>
    </row>
    <row r="475" spans="1:19" x14ac:dyDescent="0.3">
      <c r="A475" s="198" t="str">
        <f>IF(AND(VALUE(RIGHT(O475,2))&lt;=controle_formulario!$E$16,VALUE(RIGHT(K475,2))&lt;=controle_formulario!$C$10,H475&lt;=Criterios!$C$31+controle_formulario!$I$16-1),"SIM","NÃO")</f>
        <v>NÃO</v>
      </c>
      <c r="B475" s="198">
        <f t="shared" si="215"/>
        <v>0</v>
      </c>
      <c r="C475" s="198" t="str">
        <f t="shared" si="216"/>
        <v>Formrol</v>
      </c>
      <c r="D475" s="179"/>
      <c r="E475" s="198" t="str">
        <f t="shared" si="217"/>
        <v>Planilha 1</v>
      </c>
      <c r="F475" s="198" t="str">
        <f t="shared" si="218"/>
        <v>Geral</v>
      </c>
      <c r="G475" s="198" t="s">
        <v>21</v>
      </c>
      <c r="H475" s="199">
        <f t="shared" si="228"/>
        <v>2029</v>
      </c>
      <c r="I475" s="200">
        <f t="shared" ca="1" si="228"/>
        <v>36.250027878529522</v>
      </c>
      <c r="J475" s="200" t="str">
        <f>IF(controle_formulario!$C$39=1,controle_formulario!$C$37,controle_formulario!$C$38)</f>
        <v>Epidemiologico Beneficiarios Saude Suplementar</v>
      </c>
      <c r="K475" s="197" t="s">
        <v>169</v>
      </c>
      <c r="L475" s="197">
        <f t="shared" si="227"/>
        <v>0</v>
      </c>
      <c r="M475" s="201">
        <f t="shared" si="230"/>
        <v>0</v>
      </c>
      <c r="N475" s="201">
        <f t="shared" si="230"/>
        <v>0</v>
      </c>
      <c r="O475" s="197" t="s">
        <v>180</v>
      </c>
      <c r="P475" s="197" t="str">
        <f t="shared" si="220"/>
        <v>Taxa de difusão em X anos: XX%</v>
      </c>
      <c r="Q475" s="202">
        <f>'Market Share'!N75</f>
        <v>0</v>
      </c>
      <c r="R475" s="203">
        <f t="shared" ca="1" si="229"/>
        <v>0</v>
      </c>
      <c r="S475" s="204">
        <f t="shared" ca="1" si="229"/>
        <v>-4150388.9087994657</v>
      </c>
    </row>
    <row r="476" spans="1:19" x14ac:dyDescent="0.3">
      <c r="A476" s="198" t="str">
        <f>IF(AND(VALUE(RIGHT(O476,2))&lt;=controle_formulario!$E$16,VALUE(RIGHT(K476,2))&lt;=controle_formulario!$C$10,H476&lt;=Criterios!$C$31+controle_formulario!$I$16-1),"SIM","NÃO")</f>
        <v>NÃO</v>
      </c>
      <c r="B476" s="198">
        <f t="shared" si="215"/>
        <v>0</v>
      </c>
      <c r="C476" s="198" t="str">
        <f t="shared" si="216"/>
        <v>Formrol</v>
      </c>
      <c r="D476" s="179"/>
      <c r="E476" s="198" t="str">
        <f t="shared" si="217"/>
        <v>Planilha 1</v>
      </c>
      <c r="F476" s="198" t="str">
        <f t="shared" si="218"/>
        <v>Geral</v>
      </c>
      <c r="G476" s="198" t="s">
        <v>22</v>
      </c>
      <c r="H476" s="199">
        <f t="shared" si="228"/>
        <v>2030</v>
      </c>
      <c r="I476" s="200">
        <f t="shared" ca="1" si="228"/>
        <v>36.350592396534239</v>
      </c>
      <c r="J476" s="200" t="str">
        <f>IF(controle_formulario!$C$39=1,controle_formulario!$C$37,controle_formulario!$C$38)</f>
        <v>Epidemiologico Beneficiarios Saude Suplementar</v>
      </c>
      <c r="K476" s="197" t="s">
        <v>169</v>
      </c>
      <c r="L476" s="197">
        <f t="shared" si="227"/>
        <v>0</v>
      </c>
      <c r="M476" s="201">
        <f t="shared" si="230"/>
        <v>0</v>
      </c>
      <c r="N476" s="201">
        <f t="shared" si="230"/>
        <v>0</v>
      </c>
      <c r="O476" s="197" t="s">
        <v>180</v>
      </c>
      <c r="P476" s="197" t="str">
        <f t="shared" si="220"/>
        <v>Taxa de difusão em X anos: XX%</v>
      </c>
      <c r="Q476" s="202">
        <f>'Market Share'!N76</f>
        <v>0</v>
      </c>
      <c r="R476" s="203">
        <f t="shared" ca="1" si="229"/>
        <v>0</v>
      </c>
      <c r="S476" s="204">
        <f t="shared" ca="1" si="229"/>
        <v>-4161902.8822933384</v>
      </c>
    </row>
    <row r="477" spans="1:19" x14ac:dyDescent="0.3">
      <c r="A477" s="198" t="str">
        <f>IF(AND(VALUE(RIGHT(O477,2))&lt;=controle_formulario!$E$16,VALUE(RIGHT(K477,2))&lt;=controle_formulario!$C$10,H477&lt;=Criterios!$C$31+controle_formulario!$I$16-1),"SIM","NÃO")</f>
        <v>NÃO</v>
      </c>
      <c r="B477" s="198">
        <f t="shared" si="215"/>
        <v>0</v>
      </c>
      <c r="C477" s="198" t="str">
        <f t="shared" si="216"/>
        <v>Formrol</v>
      </c>
      <c r="D477" s="179"/>
      <c r="E477" s="198" t="str">
        <f t="shared" si="217"/>
        <v>Planilha 1</v>
      </c>
      <c r="F477" s="198" t="str">
        <f t="shared" si="218"/>
        <v>Geral</v>
      </c>
      <c r="G477" s="198" t="s">
        <v>23</v>
      </c>
      <c r="H477" s="199">
        <f t="shared" si="228"/>
        <v>2031</v>
      </c>
      <c r="I477" s="200">
        <f t="shared" si="228"/>
        <v>0</v>
      </c>
      <c r="J477" s="200" t="str">
        <f>IF(controle_formulario!$C$39=1,controle_formulario!$C$37,controle_formulario!$C$38)</f>
        <v>Epidemiologico Beneficiarios Saude Suplementar</v>
      </c>
      <c r="K477" s="197" t="s">
        <v>169</v>
      </c>
      <c r="L477" s="197">
        <f t="shared" si="227"/>
        <v>0</v>
      </c>
      <c r="M477" s="201">
        <f t="shared" si="230"/>
        <v>0</v>
      </c>
      <c r="N477" s="201">
        <f t="shared" si="230"/>
        <v>0</v>
      </c>
      <c r="O477" s="197" t="s">
        <v>180</v>
      </c>
      <c r="P477" s="197" t="str">
        <f t="shared" si="220"/>
        <v>Taxa de difusão em X anos: XX%</v>
      </c>
      <c r="Q477" s="202">
        <f>'Market Share'!N77</f>
        <v>0</v>
      </c>
      <c r="R477" s="203">
        <f t="shared" ca="1" si="229"/>
        <v>0</v>
      </c>
      <c r="S477" s="204">
        <f t="shared" ca="1" si="229"/>
        <v>0</v>
      </c>
    </row>
    <row r="478" spans="1:19" x14ac:dyDescent="0.3">
      <c r="A478" s="198" t="str">
        <f>IF(AND(VALUE(RIGHT(O478,2))&lt;=controle_formulario!$E$16,VALUE(RIGHT(K478,2))&lt;=controle_formulario!$C$10,H478&lt;=Criterios!$C$31+controle_formulario!$I$16-1),"SIM","NÃO")</f>
        <v>NÃO</v>
      </c>
      <c r="B478" s="198">
        <f t="shared" si="215"/>
        <v>0</v>
      </c>
      <c r="C478" s="198" t="str">
        <f t="shared" si="216"/>
        <v>Formrol</v>
      </c>
      <c r="D478" s="179"/>
      <c r="E478" s="198" t="str">
        <f t="shared" si="217"/>
        <v>Planilha 1</v>
      </c>
      <c r="F478" s="198" t="str">
        <f t="shared" si="218"/>
        <v>Geral</v>
      </c>
      <c r="G478" s="198" t="s">
        <v>24</v>
      </c>
      <c r="H478" s="199">
        <f t="shared" si="228"/>
        <v>2032</v>
      </c>
      <c r="I478" s="200">
        <f t="shared" si="228"/>
        <v>0</v>
      </c>
      <c r="J478" s="200" t="str">
        <f>IF(controle_formulario!$C$39=1,controle_formulario!$C$37,controle_formulario!$C$38)</f>
        <v>Epidemiologico Beneficiarios Saude Suplementar</v>
      </c>
      <c r="K478" s="197" t="s">
        <v>169</v>
      </c>
      <c r="L478" s="197">
        <f t="shared" si="227"/>
        <v>0</v>
      </c>
      <c r="M478" s="201">
        <f t="shared" si="230"/>
        <v>0</v>
      </c>
      <c r="N478" s="201">
        <f t="shared" si="230"/>
        <v>0</v>
      </c>
      <c r="O478" s="197" t="s">
        <v>180</v>
      </c>
      <c r="P478" s="197" t="str">
        <f t="shared" si="220"/>
        <v>Taxa de difusão em X anos: XX%</v>
      </c>
      <c r="Q478" s="202">
        <f>'Market Share'!N78</f>
        <v>0</v>
      </c>
      <c r="R478" s="203">
        <f t="shared" ca="1" si="229"/>
        <v>0</v>
      </c>
      <c r="S478" s="204">
        <f t="shared" ca="1" si="229"/>
        <v>0</v>
      </c>
    </row>
    <row r="479" spans="1:19" x14ac:dyDescent="0.3">
      <c r="A479" s="198" t="str">
        <f>IF(AND(VALUE(RIGHT(O479,2))&lt;=controle_formulario!$E$16,VALUE(RIGHT(K479,2))&lt;=controle_formulario!$C$10,H479&lt;=Criterios!$C$31+controle_formulario!$I$16-1),"SIM","NÃO")</f>
        <v>NÃO</v>
      </c>
      <c r="B479" s="198">
        <f t="shared" si="215"/>
        <v>0</v>
      </c>
      <c r="C479" s="198" t="str">
        <f t="shared" si="216"/>
        <v>Formrol</v>
      </c>
      <c r="D479" s="179"/>
      <c r="E479" s="198" t="str">
        <f t="shared" si="217"/>
        <v>Planilha 1</v>
      </c>
      <c r="F479" s="198" t="str">
        <f t="shared" si="218"/>
        <v>Geral</v>
      </c>
      <c r="G479" s="198" t="s">
        <v>25</v>
      </c>
      <c r="H479" s="199">
        <f t="shared" si="228"/>
        <v>2033</v>
      </c>
      <c r="I479" s="200">
        <f t="shared" si="228"/>
        <v>0</v>
      </c>
      <c r="J479" s="200" t="str">
        <f>IF(controle_formulario!$C$39=1,controle_formulario!$C$37,controle_formulario!$C$38)</f>
        <v>Epidemiologico Beneficiarios Saude Suplementar</v>
      </c>
      <c r="K479" s="197" t="s">
        <v>169</v>
      </c>
      <c r="L479" s="197">
        <f t="shared" si="227"/>
        <v>0</v>
      </c>
      <c r="M479" s="201">
        <f t="shared" si="230"/>
        <v>0</v>
      </c>
      <c r="N479" s="201">
        <f t="shared" si="230"/>
        <v>0</v>
      </c>
      <c r="O479" s="197" t="s">
        <v>180</v>
      </c>
      <c r="P479" s="197" t="str">
        <f t="shared" si="220"/>
        <v>Taxa de difusão em X anos: XX%</v>
      </c>
      <c r="Q479" s="202">
        <f>'Market Share'!N79</f>
        <v>0</v>
      </c>
      <c r="R479" s="203">
        <f t="shared" ca="1" si="229"/>
        <v>0</v>
      </c>
      <c r="S479" s="204">
        <f t="shared" ca="1" si="229"/>
        <v>0</v>
      </c>
    </row>
    <row r="480" spans="1:19" x14ac:dyDescent="0.3">
      <c r="A480" s="198" t="str">
        <f>IF(AND(VALUE(RIGHT(O480,2))&lt;=controle_formulario!$E$16,VALUE(RIGHT(K480,2))&lt;=controle_formulario!$C$10,H480&lt;=Criterios!$C$31+controle_formulario!$I$16-1),"SIM","NÃO")</f>
        <v>NÃO</v>
      </c>
      <c r="B480" s="198">
        <f t="shared" si="215"/>
        <v>0</v>
      </c>
      <c r="C480" s="198" t="str">
        <f t="shared" si="216"/>
        <v>Formrol</v>
      </c>
      <c r="D480" s="179"/>
      <c r="E480" s="198" t="str">
        <f t="shared" si="217"/>
        <v>Planilha 1</v>
      </c>
      <c r="F480" s="198" t="str">
        <f t="shared" si="218"/>
        <v>Geral</v>
      </c>
      <c r="G480" s="198" t="s">
        <v>26</v>
      </c>
      <c r="H480" s="199">
        <f t="shared" si="228"/>
        <v>2034</v>
      </c>
      <c r="I480" s="200">
        <f t="shared" si="228"/>
        <v>0</v>
      </c>
      <c r="J480" s="200" t="str">
        <f>IF(controle_formulario!$C$39=1,controle_formulario!$C$37,controle_formulario!$C$38)</f>
        <v>Epidemiologico Beneficiarios Saude Suplementar</v>
      </c>
      <c r="K480" s="197" t="s">
        <v>169</v>
      </c>
      <c r="L480" s="197">
        <f t="shared" si="227"/>
        <v>0</v>
      </c>
      <c r="M480" s="201">
        <f t="shared" si="230"/>
        <v>0</v>
      </c>
      <c r="N480" s="201">
        <f t="shared" si="230"/>
        <v>0</v>
      </c>
      <c r="O480" s="197" t="s">
        <v>180</v>
      </c>
      <c r="P480" s="197" t="str">
        <f t="shared" si="220"/>
        <v>Taxa de difusão em X anos: XX%</v>
      </c>
      <c r="Q480" s="202">
        <f>'Market Share'!N80</f>
        <v>0</v>
      </c>
      <c r="R480" s="203">
        <f t="shared" ca="1" si="229"/>
        <v>0</v>
      </c>
      <c r="S480" s="204">
        <f t="shared" ca="1" si="229"/>
        <v>0</v>
      </c>
    </row>
    <row r="481" spans="1:19" ht="15" thickBot="1" x14ac:dyDescent="0.35">
      <c r="A481" s="205" t="str">
        <f>IF(AND(VALUE(RIGHT(O481,2))&lt;=controle_formulario!$E$16,VALUE(RIGHT(K481,2))&lt;=controle_formulario!$C$10,H481&lt;=Criterios!$C$31+controle_formulario!$I$16-1),"SIM","NÃO")</f>
        <v>NÃO</v>
      </c>
      <c r="B481" s="205">
        <f t="shared" si="215"/>
        <v>0</v>
      </c>
      <c r="C481" s="205" t="str">
        <f t="shared" si="216"/>
        <v>Formrol</v>
      </c>
      <c r="D481" s="180"/>
      <c r="E481" s="205" t="str">
        <f t="shared" si="217"/>
        <v>Planilha 1</v>
      </c>
      <c r="F481" s="205" t="str">
        <f t="shared" si="218"/>
        <v>Geral</v>
      </c>
      <c r="G481" s="205" t="s">
        <v>27</v>
      </c>
      <c r="H481" s="212">
        <f t="shared" si="228"/>
        <v>2035</v>
      </c>
      <c r="I481" s="213">
        <f t="shared" si="228"/>
        <v>0</v>
      </c>
      <c r="J481" s="207" t="str">
        <f>IF(controle_formulario!$C$39=1,controle_formulario!$C$37,controle_formulario!$C$38)</f>
        <v>Epidemiologico Beneficiarios Saude Suplementar</v>
      </c>
      <c r="K481" s="208" t="s">
        <v>169</v>
      </c>
      <c r="L481" s="208">
        <f t="shared" si="227"/>
        <v>0</v>
      </c>
      <c r="M481" s="201">
        <f t="shared" si="230"/>
        <v>0</v>
      </c>
      <c r="N481" s="201">
        <f t="shared" si="230"/>
        <v>0</v>
      </c>
      <c r="O481" s="214" t="s">
        <v>180</v>
      </c>
      <c r="P481" s="214" t="str">
        <f t="shared" si="220"/>
        <v>Taxa de difusão em X anos: XX%</v>
      </c>
      <c r="Q481" s="209">
        <f>'Market Share'!N81</f>
        <v>0</v>
      </c>
      <c r="R481" s="216">
        <f t="shared" ca="1" si="229"/>
        <v>0</v>
      </c>
      <c r="S481" s="217">
        <f t="shared" ca="1" si="229"/>
        <v>0</v>
      </c>
    </row>
    <row r="482" spans="1:19" x14ac:dyDescent="0.3">
      <c r="A482" s="189" t="str">
        <f>IF(AND(VALUE(RIGHT(O482,2))&lt;=controle_formulario!$E$16,VALUE(RIGHT(K482,2))&lt;=controle_formulario!$C$10,H482&lt;=Criterios!$C$31+controle_formulario!$I$16-1),"SIM","NÃO")</f>
        <v>NÃO</v>
      </c>
      <c r="B482" s="189">
        <f t="shared" si="215"/>
        <v>0</v>
      </c>
      <c r="C482" s="189" t="str">
        <f t="shared" si="216"/>
        <v>Formrol</v>
      </c>
      <c r="D482" s="177"/>
      <c r="E482" s="189" t="str">
        <f t="shared" si="217"/>
        <v>Planilha 1</v>
      </c>
      <c r="F482" s="189" t="str">
        <f t="shared" si="218"/>
        <v>Geral</v>
      </c>
      <c r="G482" s="189" t="s">
        <v>18</v>
      </c>
      <c r="H482" s="190">
        <f>H472</f>
        <v>2026</v>
      </c>
      <c r="I482" s="191">
        <f ca="1">I472</f>
        <v>35.902021176061034</v>
      </c>
      <c r="J482" s="191" t="str">
        <f>IF(controle_formulario!$C$39=1,controle_formulario!$C$37,controle_formulario!$C$38)</f>
        <v>Epidemiologico Beneficiarios Saude Suplementar</v>
      </c>
      <c r="K482" s="192" t="s">
        <v>170</v>
      </c>
      <c r="L482" s="192">
        <f t="shared" ref="L482:L491" si="231">trat.c</f>
        <v>0</v>
      </c>
      <c r="M482" s="193">
        <f>Resumo!$D$41</f>
        <v>0</v>
      </c>
      <c r="N482" s="193">
        <f>Resumo!$D$50</f>
        <v>0</v>
      </c>
      <c r="O482" s="192" t="s">
        <v>180</v>
      </c>
      <c r="P482" s="192" t="str">
        <f t="shared" si="220"/>
        <v>Taxa de difusão em X anos: XX%</v>
      </c>
      <c r="Q482" s="194">
        <f>'Market Share'!O72</f>
        <v>0</v>
      </c>
      <c r="R482" s="195">
        <f ca="1">R472</f>
        <v>0</v>
      </c>
      <c r="S482" s="196">
        <f ca="1">S472</f>
        <v>-4110544.4385289042</v>
      </c>
    </row>
    <row r="483" spans="1:19" x14ac:dyDescent="0.3">
      <c r="A483" s="198" t="str">
        <f>IF(AND(VALUE(RIGHT(O483,2))&lt;=controle_formulario!$E$16,VALUE(RIGHT(K483,2))&lt;=controle_formulario!$C$10,H483&lt;=Criterios!$C$31+controle_formulario!$I$16-1),"SIM","NÃO")</f>
        <v>NÃO</v>
      </c>
      <c r="B483" s="198">
        <f t="shared" si="215"/>
        <v>0</v>
      </c>
      <c r="C483" s="198" t="str">
        <f t="shared" si="216"/>
        <v>Formrol</v>
      </c>
      <c r="D483" s="179"/>
      <c r="E483" s="198" t="str">
        <f t="shared" si="217"/>
        <v>Planilha 1</v>
      </c>
      <c r="F483" s="198" t="str">
        <f t="shared" si="218"/>
        <v>Geral</v>
      </c>
      <c r="G483" s="198" t="s">
        <v>19</v>
      </c>
      <c r="H483" s="199">
        <f t="shared" ref="H483:I491" si="232">H473</f>
        <v>2027</v>
      </c>
      <c r="I483" s="200">
        <f t="shared" ca="1" si="232"/>
        <v>36.027114594978322</v>
      </c>
      <c r="J483" s="200" t="str">
        <f>IF(controle_formulario!$C$39=1,controle_formulario!$C$37,controle_formulario!$C$38)</f>
        <v>Epidemiologico Beneficiarios Saude Suplementar</v>
      </c>
      <c r="K483" s="197" t="s">
        <v>170</v>
      </c>
      <c r="L483" s="197">
        <f t="shared" si="231"/>
        <v>0</v>
      </c>
      <c r="M483" s="201">
        <f>M482</f>
        <v>0</v>
      </c>
      <c r="N483" s="201">
        <f>N482</f>
        <v>0</v>
      </c>
      <c r="O483" s="197" t="s">
        <v>180</v>
      </c>
      <c r="P483" s="197" t="str">
        <f t="shared" si="220"/>
        <v>Taxa de difusão em X anos: XX%</v>
      </c>
      <c r="Q483" s="202">
        <f>'Market Share'!O73</f>
        <v>0</v>
      </c>
      <c r="R483" s="203">
        <f t="shared" ref="R483:S491" ca="1" si="233">R473</f>
        <v>0</v>
      </c>
      <c r="S483" s="204">
        <f t="shared" ca="1" si="233"/>
        <v>-4124866.8092641174</v>
      </c>
    </row>
    <row r="484" spans="1:19" x14ac:dyDescent="0.3">
      <c r="A484" s="198" t="str">
        <f>IF(AND(VALUE(RIGHT(O484,2))&lt;=controle_formulario!$E$16,VALUE(RIGHT(K484,2))&lt;=controle_formulario!$C$10,H484&lt;=Criterios!$C$31+controle_formulario!$I$16-1),"SIM","NÃO")</f>
        <v>NÃO</v>
      </c>
      <c r="B484" s="198">
        <f t="shared" si="215"/>
        <v>0</v>
      </c>
      <c r="C484" s="198" t="str">
        <f t="shared" si="216"/>
        <v>Formrol</v>
      </c>
      <c r="D484" s="179"/>
      <c r="E484" s="198" t="str">
        <f t="shared" si="217"/>
        <v>Planilha 1</v>
      </c>
      <c r="F484" s="198" t="str">
        <f t="shared" si="218"/>
        <v>Geral</v>
      </c>
      <c r="G484" s="198" t="s">
        <v>20</v>
      </c>
      <c r="H484" s="199">
        <f t="shared" si="232"/>
        <v>2028</v>
      </c>
      <c r="I484" s="200">
        <f t="shared" ca="1" si="232"/>
        <v>36.142742272880319</v>
      </c>
      <c r="J484" s="200" t="str">
        <f>IF(controle_formulario!$C$39=1,controle_formulario!$C$37,controle_formulario!$C$38)</f>
        <v>Epidemiologico Beneficiarios Saude Suplementar</v>
      </c>
      <c r="K484" s="197" t="s">
        <v>170</v>
      </c>
      <c r="L484" s="197">
        <f t="shared" si="231"/>
        <v>0</v>
      </c>
      <c r="M484" s="201">
        <f t="shared" ref="M484:N491" si="234">M483</f>
        <v>0</v>
      </c>
      <c r="N484" s="201">
        <f t="shared" si="234"/>
        <v>0</v>
      </c>
      <c r="O484" s="197" t="s">
        <v>180</v>
      </c>
      <c r="P484" s="197" t="str">
        <f t="shared" ref="P484:P501" si="235">cen.alt9</f>
        <v>Taxa de difusão em X anos: XX%</v>
      </c>
      <c r="Q484" s="202">
        <f>'Market Share'!O74</f>
        <v>0</v>
      </c>
      <c r="R484" s="203">
        <f t="shared" ca="1" si="233"/>
        <v>0</v>
      </c>
      <c r="S484" s="204">
        <f t="shared" ca="1" si="233"/>
        <v>-4138105.4151356164</v>
      </c>
    </row>
    <row r="485" spans="1:19" x14ac:dyDescent="0.3">
      <c r="A485" s="198" t="str">
        <f>IF(AND(VALUE(RIGHT(O485,2))&lt;=controle_formulario!$E$16,VALUE(RIGHT(K485,2))&lt;=controle_formulario!$C$10,H485&lt;=Criterios!$C$31+controle_formulario!$I$16-1),"SIM","NÃO")</f>
        <v>NÃO</v>
      </c>
      <c r="B485" s="198">
        <f t="shared" si="215"/>
        <v>0</v>
      </c>
      <c r="C485" s="198" t="str">
        <f t="shared" si="216"/>
        <v>Formrol</v>
      </c>
      <c r="D485" s="179"/>
      <c r="E485" s="198" t="str">
        <f t="shared" si="217"/>
        <v>Planilha 1</v>
      </c>
      <c r="F485" s="198" t="str">
        <f t="shared" si="218"/>
        <v>Geral</v>
      </c>
      <c r="G485" s="198" t="s">
        <v>21</v>
      </c>
      <c r="H485" s="199">
        <f t="shared" si="232"/>
        <v>2029</v>
      </c>
      <c r="I485" s="200">
        <f t="shared" ca="1" si="232"/>
        <v>36.250027878529522</v>
      </c>
      <c r="J485" s="200" t="str">
        <f>IF(controle_formulario!$C$39=1,controle_formulario!$C$37,controle_formulario!$C$38)</f>
        <v>Epidemiologico Beneficiarios Saude Suplementar</v>
      </c>
      <c r="K485" s="197" t="s">
        <v>170</v>
      </c>
      <c r="L485" s="197">
        <f t="shared" si="231"/>
        <v>0</v>
      </c>
      <c r="M485" s="201">
        <f t="shared" si="234"/>
        <v>0</v>
      </c>
      <c r="N485" s="201">
        <f t="shared" si="234"/>
        <v>0</v>
      </c>
      <c r="O485" s="197" t="s">
        <v>180</v>
      </c>
      <c r="P485" s="197" t="str">
        <f t="shared" si="235"/>
        <v>Taxa de difusão em X anos: XX%</v>
      </c>
      <c r="Q485" s="202">
        <f>'Market Share'!O75</f>
        <v>0</v>
      </c>
      <c r="R485" s="203">
        <f t="shared" ca="1" si="233"/>
        <v>0</v>
      </c>
      <c r="S485" s="204">
        <f t="shared" ca="1" si="233"/>
        <v>-4150388.9087994657</v>
      </c>
    </row>
    <row r="486" spans="1:19" x14ac:dyDescent="0.3">
      <c r="A486" s="198" t="str">
        <f>IF(AND(VALUE(RIGHT(O486,2))&lt;=controle_formulario!$E$16,VALUE(RIGHT(K486,2))&lt;=controle_formulario!$C$10,H486&lt;=Criterios!$C$31+controle_formulario!$I$16-1),"SIM","NÃO")</f>
        <v>NÃO</v>
      </c>
      <c r="B486" s="198">
        <f t="shared" si="215"/>
        <v>0</v>
      </c>
      <c r="C486" s="198" t="str">
        <f t="shared" si="216"/>
        <v>Formrol</v>
      </c>
      <c r="D486" s="179"/>
      <c r="E486" s="198" t="str">
        <f t="shared" si="217"/>
        <v>Planilha 1</v>
      </c>
      <c r="F486" s="198" t="str">
        <f t="shared" si="218"/>
        <v>Geral</v>
      </c>
      <c r="G486" s="198" t="s">
        <v>22</v>
      </c>
      <c r="H486" s="199">
        <f t="shared" si="232"/>
        <v>2030</v>
      </c>
      <c r="I486" s="200">
        <f t="shared" ca="1" si="232"/>
        <v>36.350592396534239</v>
      </c>
      <c r="J486" s="200" t="str">
        <f>IF(controle_formulario!$C$39=1,controle_formulario!$C$37,controle_formulario!$C$38)</f>
        <v>Epidemiologico Beneficiarios Saude Suplementar</v>
      </c>
      <c r="K486" s="197" t="s">
        <v>170</v>
      </c>
      <c r="L486" s="197">
        <f t="shared" si="231"/>
        <v>0</v>
      </c>
      <c r="M486" s="201">
        <f t="shared" si="234"/>
        <v>0</v>
      </c>
      <c r="N486" s="201">
        <f t="shared" si="234"/>
        <v>0</v>
      </c>
      <c r="O486" s="197" t="s">
        <v>180</v>
      </c>
      <c r="P486" s="197" t="str">
        <f t="shared" si="235"/>
        <v>Taxa de difusão em X anos: XX%</v>
      </c>
      <c r="Q486" s="202">
        <f>'Market Share'!O76</f>
        <v>0</v>
      </c>
      <c r="R486" s="203">
        <f t="shared" ca="1" si="233"/>
        <v>0</v>
      </c>
      <c r="S486" s="204">
        <f t="shared" ca="1" si="233"/>
        <v>-4161902.8822933384</v>
      </c>
    </row>
    <row r="487" spans="1:19" x14ac:dyDescent="0.3">
      <c r="A487" s="198" t="str">
        <f>IF(AND(VALUE(RIGHT(O487,2))&lt;=controle_formulario!$E$16,VALUE(RIGHT(K487,2))&lt;=controle_formulario!$C$10,H487&lt;=Criterios!$C$31+controle_formulario!$I$16-1),"SIM","NÃO")</f>
        <v>NÃO</v>
      </c>
      <c r="B487" s="198">
        <f t="shared" si="215"/>
        <v>0</v>
      </c>
      <c r="C487" s="198" t="str">
        <f t="shared" si="216"/>
        <v>Formrol</v>
      </c>
      <c r="D487" s="179"/>
      <c r="E487" s="198" t="str">
        <f t="shared" si="217"/>
        <v>Planilha 1</v>
      </c>
      <c r="F487" s="198" t="str">
        <f t="shared" si="218"/>
        <v>Geral</v>
      </c>
      <c r="G487" s="198" t="s">
        <v>23</v>
      </c>
      <c r="H487" s="199">
        <f t="shared" si="232"/>
        <v>2031</v>
      </c>
      <c r="I487" s="200">
        <f t="shared" si="232"/>
        <v>0</v>
      </c>
      <c r="J487" s="200" t="str">
        <f>IF(controle_formulario!$C$39=1,controle_formulario!$C$37,controle_formulario!$C$38)</f>
        <v>Epidemiologico Beneficiarios Saude Suplementar</v>
      </c>
      <c r="K487" s="197" t="s">
        <v>170</v>
      </c>
      <c r="L487" s="197">
        <f t="shared" si="231"/>
        <v>0</v>
      </c>
      <c r="M487" s="201">
        <f t="shared" si="234"/>
        <v>0</v>
      </c>
      <c r="N487" s="201">
        <f t="shared" si="234"/>
        <v>0</v>
      </c>
      <c r="O487" s="197" t="s">
        <v>180</v>
      </c>
      <c r="P487" s="197" t="str">
        <f t="shared" si="235"/>
        <v>Taxa de difusão em X anos: XX%</v>
      </c>
      <c r="Q487" s="202">
        <f>'Market Share'!O77</f>
        <v>0</v>
      </c>
      <c r="R487" s="203">
        <f t="shared" ca="1" si="233"/>
        <v>0</v>
      </c>
      <c r="S487" s="204">
        <f t="shared" ca="1" si="233"/>
        <v>0</v>
      </c>
    </row>
    <row r="488" spans="1:19" x14ac:dyDescent="0.3">
      <c r="A488" s="198" t="str">
        <f>IF(AND(VALUE(RIGHT(O488,2))&lt;=controle_formulario!$E$16,VALUE(RIGHT(K488,2))&lt;=controle_formulario!$C$10,H488&lt;=Criterios!$C$31+controle_formulario!$I$16-1),"SIM","NÃO")</f>
        <v>NÃO</v>
      </c>
      <c r="B488" s="198">
        <f t="shared" si="215"/>
        <v>0</v>
      </c>
      <c r="C488" s="198" t="str">
        <f t="shared" si="216"/>
        <v>Formrol</v>
      </c>
      <c r="D488" s="179"/>
      <c r="E488" s="198" t="str">
        <f t="shared" si="217"/>
        <v>Planilha 1</v>
      </c>
      <c r="F488" s="198" t="str">
        <f t="shared" si="218"/>
        <v>Geral</v>
      </c>
      <c r="G488" s="198" t="s">
        <v>24</v>
      </c>
      <c r="H488" s="199">
        <f t="shared" si="232"/>
        <v>2032</v>
      </c>
      <c r="I488" s="200">
        <f t="shared" si="232"/>
        <v>0</v>
      </c>
      <c r="J488" s="200" t="str">
        <f>IF(controle_formulario!$C$39=1,controle_formulario!$C$37,controle_formulario!$C$38)</f>
        <v>Epidemiologico Beneficiarios Saude Suplementar</v>
      </c>
      <c r="K488" s="197" t="s">
        <v>170</v>
      </c>
      <c r="L488" s="197">
        <f t="shared" si="231"/>
        <v>0</v>
      </c>
      <c r="M488" s="201">
        <f t="shared" si="234"/>
        <v>0</v>
      </c>
      <c r="N488" s="201">
        <f t="shared" si="234"/>
        <v>0</v>
      </c>
      <c r="O488" s="197" t="s">
        <v>180</v>
      </c>
      <c r="P488" s="197" t="str">
        <f t="shared" si="235"/>
        <v>Taxa de difusão em X anos: XX%</v>
      </c>
      <c r="Q488" s="202">
        <f>'Market Share'!O78</f>
        <v>0</v>
      </c>
      <c r="R488" s="203">
        <f t="shared" ca="1" si="233"/>
        <v>0</v>
      </c>
      <c r="S488" s="204">
        <f t="shared" ca="1" si="233"/>
        <v>0</v>
      </c>
    </row>
    <row r="489" spans="1:19" x14ac:dyDescent="0.3">
      <c r="A489" s="198" t="str">
        <f>IF(AND(VALUE(RIGHT(O489,2))&lt;=controle_formulario!$E$16,VALUE(RIGHT(K489,2))&lt;=controle_formulario!$C$10,H489&lt;=Criterios!$C$31+controle_formulario!$I$16-1),"SIM","NÃO")</f>
        <v>NÃO</v>
      </c>
      <c r="B489" s="198">
        <f t="shared" si="215"/>
        <v>0</v>
      </c>
      <c r="C489" s="198" t="str">
        <f t="shared" si="216"/>
        <v>Formrol</v>
      </c>
      <c r="D489" s="179"/>
      <c r="E489" s="198" t="str">
        <f t="shared" si="217"/>
        <v>Planilha 1</v>
      </c>
      <c r="F489" s="198" t="str">
        <f t="shared" si="218"/>
        <v>Geral</v>
      </c>
      <c r="G489" s="198" t="s">
        <v>25</v>
      </c>
      <c r="H489" s="199">
        <f t="shared" si="232"/>
        <v>2033</v>
      </c>
      <c r="I489" s="200">
        <f t="shared" si="232"/>
        <v>0</v>
      </c>
      <c r="J489" s="200" t="str">
        <f>IF(controle_formulario!$C$39=1,controle_formulario!$C$37,controle_formulario!$C$38)</f>
        <v>Epidemiologico Beneficiarios Saude Suplementar</v>
      </c>
      <c r="K489" s="197" t="s">
        <v>170</v>
      </c>
      <c r="L489" s="197">
        <f t="shared" si="231"/>
        <v>0</v>
      </c>
      <c r="M489" s="201">
        <f t="shared" si="234"/>
        <v>0</v>
      </c>
      <c r="N489" s="201">
        <f t="shared" si="234"/>
        <v>0</v>
      </c>
      <c r="O489" s="197" t="s">
        <v>180</v>
      </c>
      <c r="P489" s="197" t="str">
        <f t="shared" si="235"/>
        <v>Taxa de difusão em X anos: XX%</v>
      </c>
      <c r="Q489" s="202">
        <f>'Market Share'!O79</f>
        <v>0</v>
      </c>
      <c r="R489" s="203">
        <f t="shared" ca="1" si="233"/>
        <v>0</v>
      </c>
      <c r="S489" s="204">
        <f t="shared" ca="1" si="233"/>
        <v>0</v>
      </c>
    </row>
    <row r="490" spans="1:19" x14ac:dyDescent="0.3">
      <c r="A490" s="198" t="str">
        <f>IF(AND(VALUE(RIGHT(O490,2))&lt;=controle_formulario!$E$16,VALUE(RIGHT(K490,2))&lt;=controle_formulario!$C$10,H490&lt;=Criterios!$C$31+controle_formulario!$I$16-1),"SIM","NÃO")</f>
        <v>NÃO</v>
      </c>
      <c r="B490" s="198">
        <f t="shared" si="215"/>
        <v>0</v>
      </c>
      <c r="C490" s="198" t="str">
        <f t="shared" si="216"/>
        <v>Formrol</v>
      </c>
      <c r="D490" s="179"/>
      <c r="E490" s="198" t="str">
        <f t="shared" si="217"/>
        <v>Planilha 1</v>
      </c>
      <c r="F490" s="198" t="str">
        <f t="shared" si="218"/>
        <v>Geral</v>
      </c>
      <c r="G490" s="198" t="s">
        <v>26</v>
      </c>
      <c r="H490" s="199">
        <f t="shared" si="232"/>
        <v>2034</v>
      </c>
      <c r="I490" s="200">
        <f t="shared" si="232"/>
        <v>0</v>
      </c>
      <c r="J490" s="200" t="str">
        <f>IF(controle_formulario!$C$39=1,controle_formulario!$C$37,controle_formulario!$C$38)</f>
        <v>Epidemiologico Beneficiarios Saude Suplementar</v>
      </c>
      <c r="K490" s="197" t="s">
        <v>170</v>
      </c>
      <c r="L490" s="197">
        <f t="shared" si="231"/>
        <v>0</v>
      </c>
      <c r="M490" s="201">
        <f t="shared" si="234"/>
        <v>0</v>
      </c>
      <c r="N490" s="201">
        <f t="shared" si="234"/>
        <v>0</v>
      </c>
      <c r="O490" s="197" t="s">
        <v>180</v>
      </c>
      <c r="P490" s="197" t="str">
        <f t="shared" si="235"/>
        <v>Taxa de difusão em X anos: XX%</v>
      </c>
      <c r="Q490" s="202">
        <f>'Market Share'!O80</f>
        <v>0</v>
      </c>
      <c r="R490" s="203">
        <f t="shared" ca="1" si="233"/>
        <v>0</v>
      </c>
      <c r="S490" s="204">
        <f t="shared" ca="1" si="233"/>
        <v>0</v>
      </c>
    </row>
    <row r="491" spans="1:19" ht="15" thickBot="1" x14ac:dyDescent="0.35">
      <c r="A491" s="205" t="str">
        <f>IF(AND(VALUE(RIGHT(O491,2))&lt;=controle_formulario!$E$16,VALUE(RIGHT(K491,2))&lt;=controle_formulario!$C$10,H491&lt;=Criterios!$C$31+controle_formulario!$I$16-1),"SIM","NÃO")</f>
        <v>NÃO</v>
      </c>
      <c r="B491" s="205">
        <f t="shared" si="215"/>
        <v>0</v>
      </c>
      <c r="C491" s="205" t="str">
        <f t="shared" si="216"/>
        <v>Formrol</v>
      </c>
      <c r="D491" s="180"/>
      <c r="E491" s="205" t="str">
        <f t="shared" si="217"/>
        <v>Planilha 1</v>
      </c>
      <c r="F491" s="205" t="str">
        <f t="shared" si="218"/>
        <v>Geral</v>
      </c>
      <c r="G491" s="205" t="s">
        <v>27</v>
      </c>
      <c r="H491" s="212">
        <f t="shared" si="232"/>
        <v>2035</v>
      </c>
      <c r="I491" s="213">
        <f t="shared" si="232"/>
        <v>0</v>
      </c>
      <c r="J491" s="207" t="str">
        <f>IF(controle_formulario!$C$39=1,controle_formulario!$C$37,controle_formulario!$C$38)</f>
        <v>Epidemiologico Beneficiarios Saude Suplementar</v>
      </c>
      <c r="K491" s="208" t="s">
        <v>170</v>
      </c>
      <c r="L491" s="208">
        <f t="shared" si="231"/>
        <v>0</v>
      </c>
      <c r="M491" s="201">
        <f t="shared" si="234"/>
        <v>0</v>
      </c>
      <c r="N491" s="201">
        <f t="shared" si="234"/>
        <v>0</v>
      </c>
      <c r="O491" s="214" t="s">
        <v>180</v>
      </c>
      <c r="P491" s="214" t="str">
        <f t="shared" si="235"/>
        <v>Taxa de difusão em X anos: XX%</v>
      </c>
      <c r="Q491" s="209">
        <f>'Market Share'!O81</f>
        <v>0</v>
      </c>
      <c r="R491" s="216">
        <f t="shared" ca="1" si="233"/>
        <v>0</v>
      </c>
      <c r="S491" s="217">
        <f t="shared" ca="1" si="233"/>
        <v>0</v>
      </c>
    </row>
    <row r="492" spans="1:19" x14ac:dyDescent="0.3">
      <c r="A492" s="189" t="str">
        <f>IF(AND(VALUE(RIGHT(O492,2))&lt;=controle_formulario!$E$16,VALUE(RIGHT(K492,2))&lt;=controle_formulario!$C$10,H492&lt;=Criterios!$C$31+controle_formulario!$I$16-1),"SIM","NÃO")</f>
        <v>NÃO</v>
      </c>
      <c r="B492" s="189">
        <f t="shared" si="215"/>
        <v>0</v>
      </c>
      <c r="C492" s="189" t="str">
        <f t="shared" si="216"/>
        <v>Formrol</v>
      </c>
      <c r="D492" s="177"/>
      <c r="E492" s="189" t="str">
        <f t="shared" si="217"/>
        <v>Planilha 1</v>
      </c>
      <c r="F492" s="189" t="str">
        <f t="shared" si="218"/>
        <v>Geral</v>
      </c>
      <c r="G492" s="189" t="s">
        <v>18</v>
      </c>
      <c r="H492" s="190">
        <f>H482</f>
        <v>2026</v>
      </c>
      <c r="I492" s="191">
        <f ca="1">I482</f>
        <v>35.902021176061034</v>
      </c>
      <c r="J492" s="191" t="str">
        <f>IF(controle_formulario!$C$39=1,controle_formulario!$C$37,controle_formulario!$C$38)</f>
        <v>Epidemiologico Beneficiarios Saude Suplementar</v>
      </c>
      <c r="K492" s="192" t="s">
        <v>171</v>
      </c>
      <c r="L492" s="192">
        <f t="shared" ref="L492:L501" si="236">trat.d</f>
        <v>0</v>
      </c>
      <c r="M492" s="193">
        <f>Resumo!$D$42</f>
        <v>0</v>
      </c>
      <c r="N492" s="193">
        <f>Resumo!$D$51</f>
        <v>0</v>
      </c>
      <c r="O492" s="192" t="s">
        <v>180</v>
      </c>
      <c r="P492" s="192" t="str">
        <f t="shared" si="235"/>
        <v>Taxa de difusão em X anos: XX%</v>
      </c>
      <c r="Q492" s="194">
        <f>'Market Share'!P72</f>
        <v>0</v>
      </c>
      <c r="R492" s="195">
        <f ca="1">R482</f>
        <v>0</v>
      </c>
      <c r="S492" s="196">
        <f ca="1">S482</f>
        <v>-4110544.4385289042</v>
      </c>
    </row>
    <row r="493" spans="1:19" x14ac:dyDescent="0.3">
      <c r="A493" s="198" t="str">
        <f>IF(AND(VALUE(RIGHT(O493,2))&lt;=controle_formulario!$E$16,VALUE(RIGHT(K493,2))&lt;=controle_formulario!$C$10,H493&lt;=Criterios!$C$31+controle_formulario!$I$16-1),"SIM","NÃO")</f>
        <v>NÃO</v>
      </c>
      <c r="B493" s="198">
        <f t="shared" si="215"/>
        <v>0</v>
      </c>
      <c r="C493" s="198" t="str">
        <f t="shared" si="216"/>
        <v>Formrol</v>
      </c>
      <c r="D493" s="179"/>
      <c r="E493" s="198" t="str">
        <f t="shared" si="217"/>
        <v>Planilha 1</v>
      </c>
      <c r="F493" s="198" t="str">
        <f t="shared" si="218"/>
        <v>Geral</v>
      </c>
      <c r="G493" s="198" t="s">
        <v>19</v>
      </c>
      <c r="H493" s="199">
        <f t="shared" ref="H493:I501" si="237">H483</f>
        <v>2027</v>
      </c>
      <c r="I493" s="200">
        <f t="shared" ca="1" si="237"/>
        <v>36.027114594978322</v>
      </c>
      <c r="J493" s="200" t="str">
        <f>IF(controle_formulario!$C$39=1,controle_formulario!$C$37,controle_formulario!$C$38)</f>
        <v>Epidemiologico Beneficiarios Saude Suplementar</v>
      </c>
      <c r="K493" s="197" t="s">
        <v>171</v>
      </c>
      <c r="L493" s="197">
        <f t="shared" si="236"/>
        <v>0</v>
      </c>
      <c r="M493" s="201">
        <f>M492</f>
        <v>0</v>
      </c>
      <c r="N493" s="201">
        <f>N492</f>
        <v>0</v>
      </c>
      <c r="O493" s="197" t="s">
        <v>180</v>
      </c>
      <c r="P493" s="197" t="str">
        <f t="shared" si="235"/>
        <v>Taxa de difusão em X anos: XX%</v>
      </c>
      <c r="Q493" s="202">
        <f>'Market Share'!P73</f>
        <v>0</v>
      </c>
      <c r="R493" s="203">
        <f t="shared" ref="R493:S501" ca="1" si="238">R483</f>
        <v>0</v>
      </c>
      <c r="S493" s="204">
        <f t="shared" ca="1" si="238"/>
        <v>-4124866.8092641174</v>
      </c>
    </row>
    <row r="494" spans="1:19" x14ac:dyDescent="0.3">
      <c r="A494" s="198" t="str">
        <f>IF(AND(VALUE(RIGHT(O494,2))&lt;=controle_formulario!$E$16,VALUE(RIGHT(K494,2))&lt;=controle_formulario!$C$10,H494&lt;=Criterios!$C$31+controle_formulario!$I$16-1),"SIM","NÃO")</f>
        <v>NÃO</v>
      </c>
      <c r="B494" s="198">
        <f t="shared" si="215"/>
        <v>0</v>
      </c>
      <c r="C494" s="198" t="str">
        <f t="shared" si="216"/>
        <v>Formrol</v>
      </c>
      <c r="D494" s="179"/>
      <c r="E494" s="198" t="str">
        <f t="shared" si="217"/>
        <v>Planilha 1</v>
      </c>
      <c r="F494" s="198" t="str">
        <f t="shared" si="218"/>
        <v>Geral</v>
      </c>
      <c r="G494" s="198" t="s">
        <v>20</v>
      </c>
      <c r="H494" s="199">
        <f t="shared" si="237"/>
        <v>2028</v>
      </c>
      <c r="I494" s="200">
        <f t="shared" ca="1" si="237"/>
        <v>36.142742272880319</v>
      </c>
      <c r="J494" s="200" t="str">
        <f>IF(controle_formulario!$C$39=1,controle_formulario!$C$37,controle_formulario!$C$38)</f>
        <v>Epidemiologico Beneficiarios Saude Suplementar</v>
      </c>
      <c r="K494" s="197" t="s">
        <v>171</v>
      </c>
      <c r="L494" s="197">
        <f t="shared" si="236"/>
        <v>0</v>
      </c>
      <c r="M494" s="201">
        <f t="shared" ref="M494:N501" si="239">M493</f>
        <v>0</v>
      </c>
      <c r="N494" s="201">
        <f t="shared" si="239"/>
        <v>0</v>
      </c>
      <c r="O494" s="197" t="s">
        <v>180</v>
      </c>
      <c r="P494" s="197" t="str">
        <f t="shared" si="235"/>
        <v>Taxa de difusão em X anos: XX%</v>
      </c>
      <c r="Q494" s="202">
        <f>'Market Share'!P74</f>
        <v>0</v>
      </c>
      <c r="R494" s="203">
        <f t="shared" ca="1" si="238"/>
        <v>0</v>
      </c>
      <c r="S494" s="204">
        <f t="shared" ca="1" si="238"/>
        <v>-4138105.4151356164</v>
      </c>
    </row>
    <row r="495" spans="1:19" x14ac:dyDescent="0.3">
      <c r="A495" s="198" t="str">
        <f>IF(AND(VALUE(RIGHT(O495,2))&lt;=controle_formulario!$E$16,VALUE(RIGHT(K495,2))&lt;=controle_formulario!$C$10,H495&lt;=Criterios!$C$31+controle_formulario!$I$16-1),"SIM","NÃO")</f>
        <v>NÃO</v>
      </c>
      <c r="B495" s="198">
        <f t="shared" si="215"/>
        <v>0</v>
      </c>
      <c r="C495" s="198" t="str">
        <f t="shared" si="216"/>
        <v>Formrol</v>
      </c>
      <c r="D495" s="179"/>
      <c r="E495" s="198" t="str">
        <f t="shared" si="217"/>
        <v>Planilha 1</v>
      </c>
      <c r="F495" s="198" t="str">
        <f t="shared" si="218"/>
        <v>Geral</v>
      </c>
      <c r="G495" s="198" t="s">
        <v>21</v>
      </c>
      <c r="H495" s="199">
        <f t="shared" si="237"/>
        <v>2029</v>
      </c>
      <c r="I495" s="200">
        <f t="shared" ca="1" si="237"/>
        <v>36.250027878529522</v>
      </c>
      <c r="J495" s="200" t="str">
        <f>IF(controle_formulario!$C$39=1,controle_formulario!$C$37,controle_formulario!$C$38)</f>
        <v>Epidemiologico Beneficiarios Saude Suplementar</v>
      </c>
      <c r="K495" s="197" t="s">
        <v>171</v>
      </c>
      <c r="L495" s="197">
        <f t="shared" si="236"/>
        <v>0</v>
      </c>
      <c r="M495" s="201">
        <f t="shared" si="239"/>
        <v>0</v>
      </c>
      <c r="N495" s="201">
        <f t="shared" si="239"/>
        <v>0</v>
      </c>
      <c r="O495" s="197" t="s">
        <v>180</v>
      </c>
      <c r="P495" s="197" t="str">
        <f t="shared" si="235"/>
        <v>Taxa de difusão em X anos: XX%</v>
      </c>
      <c r="Q495" s="202">
        <f>'Market Share'!P75</f>
        <v>0</v>
      </c>
      <c r="R495" s="203">
        <f t="shared" ca="1" si="238"/>
        <v>0</v>
      </c>
      <c r="S495" s="204">
        <f t="shared" ca="1" si="238"/>
        <v>-4150388.9087994657</v>
      </c>
    </row>
    <row r="496" spans="1:19" x14ac:dyDescent="0.3">
      <c r="A496" s="198" t="str">
        <f>IF(AND(VALUE(RIGHT(O496,2))&lt;=controle_formulario!$E$16,VALUE(RIGHT(K496,2))&lt;=controle_formulario!$C$10,H496&lt;=Criterios!$C$31+controle_formulario!$I$16-1),"SIM","NÃO")</f>
        <v>NÃO</v>
      </c>
      <c r="B496" s="198">
        <f t="shared" si="215"/>
        <v>0</v>
      </c>
      <c r="C496" s="198" t="str">
        <f t="shared" si="216"/>
        <v>Formrol</v>
      </c>
      <c r="D496" s="179"/>
      <c r="E496" s="198" t="str">
        <f t="shared" si="217"/>
        <v>Planilha 1</v>
      </c>
      <c r="F496" s="198" t="str">
        <f t="shared" si="218"/>
        <v>Geral</v>
      </c>
      <c r="G496" s="198" t="s">
        <v>22</v>
      </c>
      <c r="H496" s="199">
        <f t="shared" si="237"/>
        <v>2030</v>
      </c>
      <c r="I496" s="200">
        <f t="shared" ca="1" si="237"/>
        <v>36.350592396534239</v>
      </c>
      <c r="J496" s="200" t="str">
        <f>IF(controle_formulario!$C$39=1,controle_formulario!$C$37,controle_formulario!$C$38)</f>
        <v>Epidemiologico Beneficiarios Saude Suplementar</v>
      </c>
      <c r="K496" s="197" t="s">
        <v>171</v>
      </c>
      <c r="L496" s="197">
        <f t="shared" si="236"/>
        <v>0</v>
      </c>
      <c r="M496" s="201">
        <f t="shared" si="239"/>
        <v>0</v>
      </c>
      <c r="N496" s="201">
        <f t="shared" si="239"/>
        <v>0</v>
      </c>
      <c r="O496" s="197" t="s">
        <v>180</v>
      </c>
      <c r="P496" s="197" t="str">
        <f t="shared" si="235"/>
        <v>Taxa de difusão em X anos: XX%</v>
      </c>
      <c r="Q496" s="202">
        <f>'Market Share'!P76</f>
        <v>0</v>
      </c>
      <c r="R496" s="203">
        <f t="shared" ca="1" si="238"/>
        <v>0</v>
      </c>
      <c r="S496" s="204">
        <f t="shared" ca="1" si="238"/>
        <v>-4161902.8822933384</v>
      </c>
    </row>
    <row r="497" spans="1:19" x14ac:dyDescent="0.3">
      <c r="A497" s="198" t="str">
        <f>IF(AND(VALUE(RIGHT(O497,2))&lt;=controle_formulario!$E$16,VALUE(RIGHT(K497,2))&lt;=controle_formulario!$C$10,H497&lt;=Criterios!$C$31+controle_formulario!$I$16-1),"SIM","NÃO")</f>
        <v>NÃO</v>
      </c>
      <c r="B497" s="198">
        <f t="shared" si="215"/>
        <v>0</v>
      </c>
      <c r="C497" s="198" t="str">
        <f t="shared" si="216"/>
        <v>Formrol</v>
      </c>
      <c r="D497" s="179"/>
      <c r="E497" s="198" t="str">
        <f t="shared" si="217"/>
        <v>Planilha 1</v>
      </c>
      <c r="F497" s="198" t="str">
        <f t="shared" si="218"/>
        <v>Geral</v>
      </c>
      <c r="G497" s="198" t="s">
        <v>23</v>
      </c>
      <c r="H497" s="199">
        <f t="shared" si="237"/>
        <v>2031</v>
      </c>
      <c r="I497" s="200">
        <f t="shared" si="237"/>
        <v>0</v>
      </c>
      <c r="J497" s="200" t="str">
        <f>IF(controle_formulario!$C$39=1,controle_formulario!$C$37,controle_formulario!$C$38)</f>
        <v>Epidemiologico Beneficiarios Saude Suplementar</v>
      </c>
      <c r="K497" s="197" t="s">
        <v>171</v>
      </c>
      <c r="L497" s="197">
        <f t="shared" si="236"/>
        <v>0</v>
      </c>
      <c r="M497" s="201">
        <f t="shared" si="239"/>
        <v>0</v>
      </c>
      <c r="N497" s="201">
        <f t="shared" si="239"/>
        <v>0</v>
      </c>
      <c r="O497" s="197" t="s">
        <v>180</v>
      </c>
      <c r="P497" s="197" t="str">
        <f t="shared" si="235"/>
        <v>Taxa de difusão em X anos: XX%</v>
      </c>
      <c r="Q497" s="202">
        <f>'Market Share'!P77</f>
        <v>0</v>
      </c>
      <c r="R497" s="203">
        <f t="shared" ca="1" si="238"/>
        <v>0</v>
      </c>
      <c r="S497" s="204">
        <f t="shared" ca="1" si="238"/>
        <v>0</v>
      </c>
    </row>
    <row r="498" spans="1:19" x14ac:dyDescent="0.3">
      <c r="A498" s="198" t="str">
        <f>IF(AND(VALUE(RIGHT(O498,2))&lt;=controle_formulario!$E$16,VALUE(RIGHT(K498,2))&lt;=controle_formulario!$C$10,H498&lt;=Criterios!$C$31+controle_formulario!$I$16-1),"SIM","NÃO")</f>
        <v>NÃO</v>
      </c>
      <c r="B498" s="198">
        <f t="shared" si="215"/>
        <v>0</v>
      </c>
      <c r="C498" s="198" t="str">
        <f t="shared" si="216"/>
        <v>Formrol</v>
      </c>
      <c r="D498" s="179"/>
      <c r="E498" s="198" t="str">
        <f t="shared" si="217"/>
        <v>Planilha 1</v>
      </c>
      <c r="F498" s="198" t="str">
        <f t="shared" si="218"/>
        <v>Geral</v>
      </c>
      <c r="G498" s="198" t="s">
        <v>24</v>
      </c>
      <c r="H498" s="199">
        <f t="shared" si="237"/>
        <v>2032</v>
      </c>
      <c r="I498" s="200">
        <f t="shared" si="237"/>
        <v>0</v>
      </c>
      <c r="J498" s="200" t="str">
        <f>IF(controle_formulario!$C$39=1,controle_formulario!$C$37,controle_formulario!$C$38)</f>
        <v>Epidemiologico Beneficiarios Saude Suplementar</v>
      </c>
      <c r="K498" s="197" t="s">
        <v>171</v>
      </c>
      <c r="L498" s="197">
        <f t="shared" si="236"/>
        <v>0</v>
      </c>
      <c r="M498" s="201">
        <f t="shared" si="239"/>
        <v>0</v>
      </c>
      <c r="N498" s="201">
        <f t="shared" si="239"/>
        <v>0</v>
      </c>
      <c r="O498" s="197" t="s">
        <v>180</v>
      </c>
      <c r="P498" s="197" t="str">
        <f t="shared" si="235"/>
        <v>Taxa de difusão em X anos: XX%</v>
      </c>
      <c r="Q498" s="202">
        <f>'Market Share'!P78</f>
        <v>0</v>
      </c>
      <c r="R498" s="203">
        <f t="shared" ca="1" si="238"/>
        <v>0</v>
      </c>
      <c r="S498" s="204">
        <f t="shared" ca="1" si="238"/>
        <v>0</v>
      </c>
    </row>
    <row r="499" spans="1:19" x14ac:dyDescent="0.3">
      <c r="A499" s="198" t="str">
        <f>IF(AND(VALUE(RIGHT(O499,2))&lt;=controle_formulario!$E$16,VALUE(RIGHT(K499,2))&lt;=controle_formulario!$C$10,H499&lt;=Criterios!$C$31+controle_formulario!$I$16-1),"SIM","NÃO")</f>
        <v>NÃO</v>
      </c>
      <c r="B499" s="198">
        <f t="shared" si="215"/>
        <v>0</v>
      </c>
      <c r="C499" s="198" t="str">
        <f t="shared" si="216"/>
        <v>Formrol</v>
      </c>
      <c r="D499" s="179"/>
      <c r="E499" s="198" t="str">
        <f t="shared" si="217"/>
        <v>Planilha 1</v>
      </c>
      <c r="F499" s="198" t="str">
        <f t="shared" si="218"/>
        <v>Geral</v>
      </c>
      <c r="G499" s="198" t="s">
        <v>25</v>
      </c>
      <c r="H499" s="199">
        <f t="shared" si="237"/>
        <v>2033</v>
      </c>
      <c r="I499" s="200">
        <f t="shared" si="237"/>
        <v>0</v>
      </c>
      <c r="J499" s="200" t="str">
        <f>IF(controle_formulario!$C$39=1,controle_formulario!$C$37,controle_formulario!$C$38)</f>
        <v>Epidemiologico Beneficiarios Saude Suplementar</v>
      </c>
      <c r="K499" s="197" t="s">
        <v>171</v>
      </c>
      <c r="L499" s="197">
        <f t="shared" si="236"/>
        <v>0</v>
      </c>
      <c r="M499" s="201">
        <f t="shared" si="239"/>
        <v>0</v>
      </c>
      <c r="N499" s="201">
        <f t="shared" si="239"/>
        <v>0</v>
      </c>
      <c r="O499" s="197" t="s">
        <v>180</v>
      </c>
      <c r="P499" s="197" t="str">
        <f t="shared" si="235"/>
        <v>Taxa de difusão em X anos: XX%</v>
      </c>
      <c r="Q499" s="202">
        <f>'Market Share'!P79</f>
        <v>0</v>
      </c>
      <c r="R499" s="203">
        <f t="shared" ca="1" si="238"/>
        <v>0</v>
      </c>
      <c r="S499" s="204">
        <f t="shared" ca="1" si="238"/>
        <v>0</v>
      </c>
    </row>
    <row r="500" spans="1:19" x14ac:dyDescent="0.3">
      <c r="A500" s="198" t="str">
        <f>IF(AND(VALUE(RIGHT(O500,2))&lt;=controle_formulario!$E$16,VALUE(RIGHT(K500,2))&lt;=controle_formulario!$C$10,H500&lt;=Criterios!$C$31+controle_formulario!$I$16-1),"SIM","NÃO")</f>
        <v>NÃO</v>
      </c>
      <c r="B500" s="198">
        <f t="shared" si="215"/>
        <v>0</v>
      </c>
      <c r="C500" s="198" t="str">
        <f t="shared" si="216"/>
        <v>Formrol</v>
      </c>
      <c r="D500" s="179"/>
      <c r="E500" s="198" t="str">
        <f t="shared" si="217"/>
        <v>Planilha 1</v>
      </c>
      <c r="F500" s="198" t="str">
        <f t="shared" si="218"/>
        <v>Geral</v>
      </c>
      <c r="G500" s="198" t="s">
        <v>26</v>
      </c>
      <c r="H500" s="199">
        <f t="shared" si="237"/>
        <v>2034</v>
      </c>
      <c r="I500" s="200">
        <f t="shared" si="237"/>
        <v>0</v>
      </c>
      <c r="J500" s="200" t="str">
        <f>IF(controle_formulario!$C$39=1,controle_formulario!$C$37,controle_formulario!$C$38)</f>
        <v>Epidemiologico Beneficiarios Saude Suplementar</v>
      </c>
      <c r="K500" s="197" t="s">
        <v>171</v>
      </c>
      <c r="L500" s="197">
        <f t="shared" si="236"/>
        <v>0</v>
      </c>
      <c r="M500" s="201">
        <f t="shared" si="239"/>
        <v>0</v>
      </c>
      <c r="N500" s="201">
        <f t="shared" si="239"/>
        <v>0</v>
      </c>
      <c r="O500" s="197" t="s">
        <v>180</v>
      </c>
      <c r="P500" s="197" t="str">
        <f t="shared" si="235"/>
        <v>Taxa de difusão em X anos: XX%</v>
      </c>
      <c r="Q500" s="202">
        <f>'Market Share'!P80</f>
        <v>0</v>
      </c>
      <c r="R500" s="203">
        <f t="shared" ca="1" si="238"/>
        <v>0</v>
      </c>
      <c r="S500" s="204">
        <f t="shared" ca="1" si="238"/>
        <v>0</v>
      </c>
    </row>
    <row r="501" spans="1:19" ht="15" thickBot="1" x14ac:dyDescent="0.35">
      <c r="A501" s="205" t="str">
        <f>IF(AND(VALUE(RIGHT(O501,2))&lt;=controle_formulario!$E$16,VALUE(RIGHT(K501,2))&lt;=controle_formulario!$C$10,H501&lt;=Criterios!$C$31+controle_formulario!$I$16-1),"SIM","NÃO")</f>
        <v>NÃO</v>
      </c>
      <c r="B501" s="205">
        <f t="shared" si="215"/>
        <v>0</v>
      </c>
      <c r="C501" s="205" t="str">
        <f t="shared" si="216"/>
        <v>Formrol</v>
      </c>
      <c r="D501" s="180"/>
      <c r="E501" s="205" t="str">
        <f t="shared" si="217"/>
        <v>Planilha 1</v>
      </c>
      <c r="F501" s="205" t="str">
        <f t="shared" si="218"/>
        <v>Geral</v>
      </c>
      <c r="G501" s="205" t="s">
        <v>27</v>
      </c>
      <c r="H501" s="212">
        <f t="shared" si="237"/>
        <v>2035</v>
      </c>
      <c r="I501" s="213">
        <f t="shared" si="237"/>
        <v>0</v>
      </c>
      <c r="J501" s="213" t="str">
        <f>IF(controle_formulario!$C$39=1,controle_formulario!$C$37,controle_formulario!$C$38)</f>
        <v>Epidemiologico Beneficiarios Saude Suplementar</v>
      </c>
      <c r="K501" s="214" t="s">
        <v>171</v>
      </c>
      <c r="L501" s="214">
        <f t="shared" si="236"/>
        <v>0</v>
      </c>
      <c r="M501" s="201">
        <f t="shared" si="239"/>
        <v>0</v>
      </c>
      <c r="N501" s="201">
        <f t="shared" si="239"/>
        <v>0</v>
      </c>
      <c r="O501" s="214" t="s">
        <v>180</v>
      </c>
      <c r="P501" s="214" t="str">
        <f t="shared" si="235"/>
        <v>Taxa de difusão em X anos: XX%</v>
      </c>
      <c r="Q501" s="215">
        <f>'Market Share'!P81</f>
        <v>0</v>
      </c>
      <c r="R501" s="216">
        <f t="shared" ca="1" si="238"/>
        <v>0</v>
      </c>
      <c r="S501" s="217">
        <f t="shared" ca="1" si="238"/>
        <v>0</v>
      </c>
    </row>
    <row r="502" spans="1:19" x14ac:dyDescent="0.3">
      <c r="A502" s="189" t="str">
        <f>IF(AND(VALUE(RIGHT(O502,2))&lt;=controle_formulario!$E$16,H502&lt;=Criterios!$C$31+controle_formulario!$I$16-1),"SIM","NÃO")</f>
        <v>NÃO</v>
      </c>
      <c r="B502" s="189">
        <f t="shared" si="215"/>
        <v>0</v>
      </c>
      <c r="C502" s="189" t="str">
        <f t="shared" si="216"/>
        <v>Formrol</v>
      </c>
      <c r="D502" s="177"/>
      <c r="E502" s="189" t="str">
        <f t="shared" si="217"/>
        <v>Planilha 1</v>
      </c>
      <c r="F502" s="189" t="str">
        <f t="shared" si="218"/>
        <v>Geral</v>
      </c>
      <c r="G502" s="189" t="s">
        <v>18</v>
      </c>
      <c r="H502" s="190">
        <f>H492</f>
        <v>2026</v>
      </c>
      <c r="I502" s="191">
        <f ca="1">I492</f>
        <v>35.902021176061034</v>
      </c>
      <c r="J502" s="191" t="str">
        <f>IF(controle_formulario!$C$39=1,controle_formulario!$C$37,controle_formulario!$C$38)</f>
        <v>Epidemiologico Beneficiarios Saude Suplementar</v>
      </c>
      <c r="K502" s="192" t="s">
        <v>157</v>
      </c>
      <c r="L502" s="192" t="str">
        <f t="shared" ref="L502:L511" si="240">trat.novo</f>
        <v>Pirtobrutinibe</v>
      </c>
      <c r="M502" s="193">
        <f>Resumo!$D$38</f>
        <v>470468.67999999976</v>
      </c>
      <c r="N502" s="193">
        <f>Resumo!$D$47</f>
        <v>0</v>
      </c>
      <c r="O502" s="192" t="s">
        <v>181</v>
      </c>
      <c r="P502" s="192" t="str">
        <f t="shared" ref="P502:P533" si="241">cen.alt10</f>
        <v>Taxa de difusão em X anos: XX%</v>
      </c>
      <c r="Q502" s="194">
        <f>'Market Share'!D88</f>
        <v>0</v>
      </c>
      <c r="R502" s="195">
        <f ca="1">Resumo!N56</f>
        <v>0</v>
      </c>
      <c r="S502" s="196">
        <f ca="1">Resumo!N72</f>
        <v>-4110544.4385289042</v>
      </c>
    </row>
    <row r="503" spans="1:19" x14ac:dyDescent="0.3">
      <c r="A503" s="198" t="str">
        <f>IF(AND(VALUE(RIGHT(O503,2))&lt;=controle_formulario!$E$16,H503&lt;=Criterios!$C$31+controle_formulario!$I$16-1),"SIM","NÃO")</f>
        <v>NÃO</v>
      </c>
      <c r="B503" s="198">
        <f t="shared" si="215"/>
        <v>0</v>
      </c>
      <c r="C503" s="198" t="str">
        <f t="shared" si="216"/>
        <v>Formrol</v>
      </c>
      <c r="D503" s="179"/>
      <c r="E503" s="198" t="str">
        <f t="shared" si="217"/>
        <v>Planilha 1</v>
      </c>
      <c r="F503" s="198" t="str">
        <f t="shared" si="218"/>
        <v>Geral</v>
      </c>
      <c r="G503" s="198" t="s">
        <v>19</v>
      </c>
      <c r="H503" s="199">
        <f t="shared" ref="H503:I511" si="242">H493</f>
        <v>2027</v>
      </c>
      <c r="I503" s="200">
        <f t="shared" ca="1" si="242"/>
        <v>36.027114594978322</v>
      </c>
      <c r="J503" s="200" t="str">
        <f>IF(controle_formulario!$C$39=1,controle_formulario!$C$37,controle_formulario!$C$38)</f>
        <v>Epidemiologico Beneficiarios Saude Suplementar</v>
      </c>
      <c r="K503" s="197" t="s">
        <v>157</v>
      </c>
      <c r="L503" s="197" t="str">
        <f t="shared" si="240"/>
        <v>Pirtobrutinibe</v>
      </c>
      <c r="M503" s="201">
        <f>M502</f>
        <v>470468.67999999976</v>
      </c>
      <c r="N503" s="201">
        <f>N502</f>
        <v>0</v>
      </c>
      <c r="O503" s="197" t="s">
        <v>181</v>
      </c>
      <c r="P503" s="197" t="str">
        <f t="shared" si="241"/>
        <v>Taxa de difusão em X anos: XX%</v>
      </c>
      <c r="Q503" s="202">
        <f>'Market Share'!D89</f>
        <v>0</v>
      </c>
      <c r="R503" s="203">
        <f ca="1">Resumo!N57</f>
        <v>0</v>
      </c>
      <c r="S503" s="204">
        <f ca="1">Resumo!N73</f>
        <v>-4124866.8092641174</v>
      </c>
    </row>
    <row r="504" spans="1:19" x14ac:dyDescent="0.3">
      <c r="A504" s="198" t="str">
        <f>IF(AND(VALUE(RIGHT(O504,2))&lt;=controle_formulario!$E$16,H504&lt;=Criterios!$C$31+controle_formulario!$I$16-1),"SIM","NÃO")</f>
        <v>NÃO</v>
      </c>
      <c r="B504" s="198">
        <f t="shared" si="215"/>
        <v>0</v>
      </c>
      <c r="C504" s="198" t="str">
        <f t="shared" si="216"/>
        <v>Formrol</v>
      </c>
      <c r="D504" s="179"/>
      <c r="E504" s="198" t="str">
        <f t="shared" si="217"/>
        <v>Planilha 1</v>
      </c>
      <c r="F504" s="198" t="str">
        <f t="shared" si="218"/>
        <v>Geral</v>
      </c>
      <c r="G504" s="198" t="s">
        <v>20</v>
      </c>
      <c r="H504" s="199">
        <f t="shared" si="242"/>
        <v>2028</v>
      </c>
      <c r="I504" s="200">
        <f t="shared" ca="1" si="242"/>
        <v>36.142742272880319</v>
      </c>
      <c r="J504" s="200" t="str">
        <f>IF(controle_formulario!$C$39=1,controle_formulario!$C$37,controle_formulario!$C$38)</f>
        <v>Epidemiologico Beneficiarios Saude Suplementar</v>
      </c>
      <c r="K504" s="197" t="s">
        <v>157</v>
      </c>
      <c r="L504" s="197" t="str">
        <f t="shared" si="240"/>
        <v>Pirtobrutinibe</v>
      </c>
      <c r="M504" s="201">
        <f t="shared" ref="M504:N511" si="243">M503</f>
        <v>470468.67999999976</v>
      </c>
      <c r="N504" s="201">
        <f t="shared" si="243"/>
        <v>0</v>
      </c>
      <c r="O504" s="197" t="s">
        <v>181</v>
      </c>
      <c r="P504" s="197" t="str">
        <f t="shared" si="241"/>
        <v>Taxa de difusão em X anos: XX%</v>
      </c>
      <c r="Q504" s="202">
        <f>'Market Share'!D90</f>
        <v>0</v>
      </c>
      <c r="R504" s="203">
        <f ca="1">Resumo!N58</f>
        <v>0</v>
      </c>
      <c r="S504" s="204">
        <f ca="1">Resumo!N74</f>
        <v>-4138105.4151356164</v>
      </c>
    </row>
    <row r="505" spans="1:19" x14ac:dyDescent="0.3">
      <c r="A505" s="198" t="str">
        <f>IF(AND(VALUE(RIGHT(O505,2))&lt;=controle_formulario!$E$16,H505&lt;=Criterios!$C$31+controle_formulario!$I$16-1),"SIM","NÃO")</f>
        <v>NÃO</v>
      </c>
      <c r="B505" s="198">
        <f t="shared" si="215"/>
        <v>0</v>
      </c>
      <c r="C505" s="198" t="str">
        <f t="shared" si="216"/>
        <v>Formrol</v>
      </c>
      <c r="D505" s="179"/>
      <c r="E505" s="198" t="str">
        <f t="shared" si="217"/>
        <v>Planilha 1</v>
      </c>
      <c r="F505" s="198" t="str">
        <f t="shared" si="218"/>
        <v>Geral</v>
      </c>
      <c r="G505" s="198" t="s">
        <v>21</v>
      </c>
      <c r="H505" s="199">
        <f t="shared" si="242"/>
        <v>2029</v>
      </c>
      <c r="I505" s="200">
        <f t="shared" ca="1" si="242"/>
        <v>36.250027878529522</v>
      </c>
      <c r="J505" s="200" t="str">
        <f>IF(controle_formulario!$C$39=1,controle_formulario!$C$37,controle_formulario!$C$38)</f>
        <v>Epidemiologico Beneficiarios Saude Suplementar</v>
      </c>
      <c r="K505" s="197" t="s">
        <v>157</v>
      </c>
      <c r="L505" s="197" t="str">
        <f t="shared" si="240"/>
        <v>Pirtobrutinibe</v>
      </c>
      <c r="M505" s="201">
        <f t="shared" si="243"/>
        <v>470468.67999999976</v>
      </c>
      <c r="N505" s="201">
        <f t="shared" si="243"/>
        <v>0</v>
      </c>
      <c r="O505" s="197" t="s">
        <v>181</v>
      </c>
      <c r="P505" s="197" t="str">
        <f t="shared" si="241"/>
        <v>Taxa de difusão em X anos: XX%</v>
      </c>
      <c r="Q505" s="202">
        <f>'Market Share'!D91</f>
        <v>0</v>
      </c>
      <c r="R505" s="203">
        <f ca="1">Resumo!N59</f>
        <v>0</v>
      </c>
      <c r="S505" s="204">
        <f ca="1">Resumo!N75</f>
        <v>-4150388.9087994657</v>
      </c>
    </row>
    <row r="506" spans="1:19" x14ac:dyDescent="0.3">
      <c r="A506" s="198" t="str">
        <f>IF(AND(VALUE(RIGHT(O506,2))&lt;=controle_formulario!$E$16,H506&lt;=Criterios!$C$31+controle_formulario!$I$16-1),"SIM","NÃO")</f>
        <v>NÃO</v>
      </c>
      <c r="B506" s="198">
        <f t="shared" si="215"/>
        <v>0</v>
      </c>
      <c r="C506" s="198" t="str">
        <f t="shared" si="216"/>
        <v>Formrol</v>
      </c>
      <c r="D506" s="179"/>
      <c r="E506" s="198" t="str">
        <f t="shared" si="217"/>
        <v>Planilha 1</v>
      </c>
      <c r="F506" s="198" t="str">
        <f t="shared" si="218"/>
        <v>Geral</v>
      </c>
      <c r="G506" s="198" t="s">
        <v>22</v>
      </c>
      <c r="H506" s="199">
        <f t="shared" si="242"/>
        <v>2030</v>
      </c>
      <c r="I506" s="200">
        <f t="shared" ca="1" si="242"/>
        <v>36.350592396534239</v>
      </c>
      <c r="J506" s="200" t="str">
        <f>IF(controle_formulario!$C$39=1,controle_formulario!$C$37,controle_formulario!$C$38)</f>
        <v>Epidemiologico Beneficiarios Saude Suplementar</v>
      </c>
      <c r="K506" s="197" t="s">
        <v>157</v>
      </c>
      <c r="L506" s="197" t="str">
        <f t="shared" si="240"/>
        <v>Pirtobrutinibe</v>
      </c>
      <c r="M506" s="201">
        <f t="shared" si="243"/>
        <v>470468.67999999976</v>
      </c>
      <c r="N506" s="201">
        <f t="shared" si="243"/>
        <v>0</v>
      </c>
      <c r="O506" s="197" t="s">
        <v>181</v>
      </c>
      <c r="P506" s="197" t="str">
        <f t="shared" si="241"/>
        <v>Taxa de difusão em X anos: XX%</v>
      </c>
      <c r="Q506" s="202">
        <f>'Market Share'!D92</f>
        <v>0</v>
      </c>
      <c r="R506" s="203">
        <f ca="1">Resumo!N60</f>
        <v>0</v>
      </c>
      <c r="S506" s="204">
        <f ca="1">Resumo!N76</f>
        <v>-4161902.8822933384</v>
      </c>
    </row>
    <row r="507" spans="1:19" x14ac:dyDescent="0.3">
      <c r="A507" s="198" t="str">
        <f>IF(AND(VALUE(RIGHT(O507,2))&lt;=controle_formulario!$E$16,H507&lt;=Criterios!$C$31+controle_formulario!$I$16-1),"SIM","NÃO")</f>
        <v>NÃO</v>
      </c>
      <c r="B507" s="198">
        <f t="shared" si="215"/>
        <v>0</v>
      </c>
      <c r="C507" s="198" t="str">
        <f t="shared" si="216"/>
        <v>Formrol</v>
      </c>
      <c r="D507" s="179"/>
      <c r="E507" s="198" t="str">
        <f t="shared" si="217"/>
        <v>Planilha 1</v>
      </c>
      <c r="F507" s="198" t="str">
        <f t="shared" si="218"/>
        <v>Geral</v>
      </c>
      <c r="G507" s="198" t="s">
        <v>23</v>
      </c>
      <c r="H507" s="199">
        <f t="shared" si="242"/>
        <v>2031</v>
      </c>
      <c r="I507" s="200">
        <f t="shared" si="242"/>
        <v>0</v>
      </c>
      <c r="J507" s="200" t="str">
        <f>IF(controle_formulario!$C$39=1,controle_formulario!$C$37,controle_formulario!$C$38)</f>
        <v>Epidemiologico Beneficiarios Saude Suplementar</v>
      </c>
      <c r="K507" s="197" t="s">
        <v>157</v>
      </c>
      <c r="L507" s="197" t="str">
        <f t="shared" si="240"/>
        <v>Pirtobrutinibe</v>
      </c>
      <c r="M507" s="201">
        <f t="shared" si="243"/>
        <v>470468.67999999976</v>
      </c>
      <c r="N507" s="201">
        <f t="shared" si="243"/>
        <v>0</v>
      </c>
      <c r="O507" s="197" t="s">
        <v>181</v>
      </c>
      <c r="P507" s="197" t="str">
        <f t="shared" si="241"/>
        <v>Taxa de difusão em X anos: XX%</v>
      </c>
      <c r="Q507" s="202">
        <f>'Market Share'!D93</f>
        <v>0</v>
      </c>
      <c r="R507" s="203">
        <f ca="1">Resumo!N61</f>
        <v>0</v>
      </c>
      <c r="S507" s="204">
        <f ca="1">Resumo!N77</f>
        <v>0</v>
      </c>
    </row>
    <row r="508" spans="1:19" x14ac:dyDescent="0.3">
      <c r="A508" s="198" t="str">
        <f>IF(AND(VALUE(RIGHT(O508,2))&lt;=controle_formulario!$E$16,H508&lt;=Criterios!$C$31+controle_formulario!$I$16-1),"SIM","NÃO")</f>
        <v>NÃO</v>
      </c>
      <c r="B508" s="198">
        <f t="shared" si="215"/>
        <v>0</v>
      </c>
      <c r="C508" s="198" t="str">
        <f t="shared" si="216"/>
        <v>Formrol</v>
      </c>
      <c r="D508" s="179"/>
      <c r="E508" s="198" t="str">
        <f t="shared" si="217"/>
        <v>Planilha 1</v>
      </c>
      <c r="F508" s="198" t="str">
        <f t="shared" si="218"/>
        <v>Geral</v>
      </c>
      <c r="G508" s="198" t="s">
        <v>24</v>
      </c>
      <c r="H508" s="199">
        <f t="shared" si="242"/>
        <v>2032</v>
      </c>
      <c r="I508" s="200">
        <f t="shared" si="242"/>
        <v>0</v>
      </c>
      <c r="J508" s="200" t="str">
        <f>IF(controle_formulario!$C$39=1,controle_formulario!$C$37,controle_formulario!$C$38)</f>
        <v>Epidemiologico Beneficiarios Saude Suplementar</v>
      </c>
      <c r="K508" s="197" t="s">
        <v>157</v>
      </c>
      <c r="L508" s="197" t="str">
        <f t="shared" si="240"/>
        <v>Pirtobrutinibe</v>
      </c>
      <c r="M508" s="201">
        <f t="shared" si="243"/>
        <v>470468.67999999976</v>
      </c>
      <c r="N508" s="201">
        <f t="shared" si="243"/>
        <v>0</v>
      </c>
      <c r="O508" s="197" t="s">
        <v>181</v>
      </c>
      <c r="P508" s="197" t="str">
        <f t="shared" si="241"/>
        <v>Taxa de difusão em X anos: XX%</v>
      </c>
      <c r="Q508" s="202">
        <f>'Market Share'!D94</f>
        <v>0</v>
      </c>
      <c r="R508" s="203">
        <f ca="1">Resumo!N62</f>
        <v>0</v>
      </c>
      <c r="S508" s="204">
        <f ca="1">Resumo!N78</f>
        <v>0</v>
      </c>
    </row>
    <row r="509" spans="1:19" x14ac:dyDescent="0.3">
      <c r="A509" s="198" t="str">
        <f>IF(AND(VALUE(RIGHT(O509,2))&lt;=controle_formulario!$E$16,H509&lt;=Criterios!$C$31+controle_formulario!$I$16-1),"SIM","NÃO")</f>
        <v>NÃO</v>
      </c>
      <c r="B509" s="198">
        <f t="shared" si="215"/>
        <v>0</v>
      </c>
      <c r="C509" s="198" t="str">
        <f t="shared" si="216"/>
        <v>Formrol</v>
      </c>
      <c r="D509" s="179"/>
      <c r="E509" s="198" t="str">
        <f t="shared" si="217"/>
        <v>Planilha 1</v>
      </c>
      <c r="F509" s="198" t="str">
        <f t="shared" si="218"/>
        <v>Geral</v>
      </c>
      <c r="G509" s="198" t="s">
        <v>25</v>
      </c>
      <c r="H509" s="199">
        <f t="shared" si="242"/>
        <v>2033</v>
      </c>
      <c r="I509" s="200">
        <f t="shared" si="242"/>
        <v>0</v>
      </c>
      <c r="J509" s="200" t="str">
        <f>IF(controle_formulario!$C$39=1,controle_formulario!$C$37,controle_formulario!$C$38)</f>
        <v>Epidemiologico Beneficiarios Saude Suplementar</v>
      </c>
      <c r="K509" s="197" t="s">
        <v>157</v>
      </c>
      <c r="L509" s="197" t="str">
        <f t="shared" si="240"/>
        <v>Pirtobrutinibe</v>
      </c>
      <c r="M509" s="201">
        <f t="shared" si="243"/>
        <v>470468.67999999976</v>
      </c>
      <c r="N509" s="201">
        <f t="shared" si="243"/>
        <v>0</v>
      </c>
      <c r="O509" s="197" t="s">
        <v>181</v>
      </c>
      <c r="P509" s="197" t="str">
        <f t="shared" si="241"/>
        <v>Taxa de difusão em X anos: XX%</v>
      </c>
      <c r="Q509" s="202">
        <f>'Market Share'!D95</f>
        <v>0</v>
      </c>
      <c r="R509" s="203">
        <f ca="1">Resumo!N63</f>
        <v>0</v>
      </c>
      <c r="S509" s="204">
        <f ca="1">Resumo!N79</f>
        <v>0</v>
      </c>
    </row>
    <row r="510" spans="1:19" x14ac:dyDescent="0.3">
      <c r="A510" s="198" t="str">
        <f>IF(AND(VALUE(RIGHT(O510,2))&lt;=controle_formulario!$E$16,H510&lt;=Criterios!$C$31+controle_formulario!$I$16-1),"SIM","NÃO")</f>
        <v>NÃO</v>
      </c>
      <c r="B510" s="198">
        <f t="shared" si="215"/>
        <v>0</v>
      </c>
      <c r="C510" s="198" t="str">
        <f t="shared" si="216"/>
        <v>Formrol</v>
      </c>
      <c r="D510" s="179"/>
      <c r="E510" s="198" t="str">
        <f t="shared" si="217"/>
        <v>Planilha 1</v>
      </c>
      <c r="F510" s="198" t="str">
        <f t="shared" si="218"/>
        <v>Geral</v>
      </c>
      <c r="G510" s="198" t="s">
        <v>26</v>
      </c>
      <c r="H510" s="199">
        <f t="shared" si="242"/>
        <v>2034</v>
      </c>
      <c r="I510" s="200">
        <f t="shared" si="242"/>
        <v>0</v>
      </c>
      <c r="J510" s="200" t="str">
        <f>IF(controle_formulario!$C$39=1,controle_formulario!$C$37,controle_formulario!$C$38)</f>
        <v>Epidemiologico Beneficiarios Saude Suplementar</v>
      </c>
      <c r="K510" s="197" t="s">
        <v>157</v>
      </c>
      <c r="L510" s="197" t="str">
        <f t="shared" si="240"/>
        <v>Pirtobrutinibe</v>
      </c>
      <c r="M510" s="201">
        <f t="shared" si="243"/>
        <v>470468.67999999976</v>
      </c>
      <c r="N510" s="201">
        <f t="shared" si="243"/>
        <v>0</v>
      </c>
      <c r="O510" s="197" t="s">
        <v>181</v>
      </c>
      <c r="P510" s="197" t="str">
        <f t="shared" si="241"/>
        <v>Taxa de difusão em X anos: XX%</v>
      </c>
      <c r="Q510" s="202">
        <f>'Market Share'!D96</f>
        <v>0</v>
      </c>
      <c r="R510" s="203">
        <f ca="1">Resumo!N64</f>
        <v>0</v>
      </c>
      <c r="S510" s="204">
        <f ca="1">Resumo!N80</f>
        <v>0</v>
      </c>
    </row>
    <row r="511" spans="1:19" ht="15" thickBot="1" x14ac:dyDescent="0.35">
      <c r="A511" s="205" t="str">
        <f>IF(AND(VALUE(RIGHT(O511,2))&lt;=controle_formulario!$E$16,H511&lt;=Criterios!$C$31+controle_formulario!$I$16-1),"SIM","NÃO")</f>
        <v>NÃO</v>
      </c>
      <c r="B511" s="205">
        <f t="shared" si="215"/>
        <v>0</v>
      </c>
      <c r="C511" s="205" t="str">
        <f t="shared" si="216"/>
        <v>Formrol</v>
      </c>
      <c r="D511" s="180"/>
      <c r="E511" s="205" t="str">
        <f t="shared" si="217"/>
        <v>Planilha 1</v>
      </c>
      <c r="F511" s="205" t="str">
        <f t="shared" si="218"/>
        <v>Geral</v>
      </c>
      <c r="G511" s="205" t="s">
        <v>27</v>
      </c>
      <c r="H511" s="212">
        <f t="shared" si="242"/>
        <v>2035</v>
      </c>
      <c r="I511" s="213">
        <f t="shared" si="242"/>
        <v>0</v>
      </c>
      <c r="J511" s="207" t="str">
        <f>IF(controle_formulario!$C$39=1,controle_formulario!$C$37,controle_formulario!$C$38)</f>
        <v>Epidemiologico Beneficiarios Saude Suplementar</v>
      </c>
      <c r="K511" s="208" t="s">
        <v>157</v>
      </c>
      <c r="L511" s="208" t="str">
        <f t="shared" si="240"/>
        <v>Pirtobrutinibe</v>
      </c>
      <c r="M511" s="201">
        <f t="shared" si="243"/>
        <v>470468.67999999976</v>
      </c>
      <c r="N511" s="201">
        <f t="shared" si="243"/>
        <v>0</v>
      </c>
      <c r="O511" s="214" t="s">
        <v>181</v>
      </c>
      <c r="P511" s="214" t="str">
        <f t="shared" si="241"/>
        <v>Taxa de difusão em X anos: XX%</v>
      </c>
      <c r="Q511" s="215">
        <f>'Market Share'!D97</f>
        <v>0</v>
      </c>
      <c r="R511" s="216">
        <f ca="1">Resumo!N65</f>
        <v>0</v>
      </c>
      <c r="S511" s="217">
        <f ca="1">Resumo!N81</f>
        <v>0</v>
      </c>
    </row>
    <row r="512" spans="1:19" x14ac:dyDescent="0.3">
      <c r="A512" s="189" t="str">
        <f>IF(AND(VALUE(RIGHT(O512,2))&lt;=controle_formulario!$E$16,VALUE(RIGHT(K512,2))&lt;=controle_formulario!$C$10,H512&lt;=Criterios!$C$31+controle_formulario!$I$16-1),"SIM","NÃO")</f>
        <v>NÃO</v>
      </c>
      <c r="B512" s="189">
        <f t="shared" si="215"/>
        <v>0</v>
      </c>
      <c r="C512" s="189" t="str">
        <f t="shared" si="216"/>
        <v>Formrol</v>
      </c>
      <c r="D512" s="177"/>
      <c r="E512" s="189" t="str">
        <f t="shared" si="217"/>
        <v>Planilha 1</v>
      </c>
      <c r="F512" s="189" t="str">
        <f t="shared" si="218"/>
        <v>Geral</v>
      </c>
      <c r="G512" s="189" t="s">
        <v>18</v>
      </c>
      <c r="H512" s="190">
        <f>H502</f>
        <v>2026</v>
      </c>
      <c r="I512" s="191">
        <f ca="1">I502</f>
        <v>35.902021176061034</v>
      </c>
      <c r="J512" s="191" t="str">
        <f>IF(controle_formulario!$C$39=1,controle_formulario!$C$37,controle_formulario!$C$38)</f>
        <v>Epidemiologico Beneficiarios Saude Suplementar</v>
      </c>
      <c r="K512" s="192" t="s">
        <v>168</v>
      </c>
      <c r="L512" s="192" t="str">
        <f t="shared" ref="L512:L521" si="244">trat.a</f>
        <v xml:space="preserve"> Conjunto de Tratamentos-Padrão</v>
      </c>
      <c r="M512" s="193" t="e">
        <f>Resumo!$D$39</f>
        <v>#REF!</v>
      </c>
      <c r="N512" s="193">
        <f>Resumo!$D$48</f>
        <v>0</v>
      </c>
      <c r="O512" s="192" t="s">
        <v>181</v>
      </c>
      <c r="P512" s="192" t="str">
        <f t="shared" si="241"/>
        <v>Taxa de difusão em X anos: XX%</v>
      </c>
      <c r="Q512" s="194">
        <f>'Market Share'!E88</f>
        <v>0</v>
      </c>
      <c r="R512" s="195">
        <f ca="1">R502</f>
        <v>0</v>
      </c>
      <c r="S512" s="196">
        <f ca="1">S502</f>
        <v>-4110544.4385289042</v>
      </c>
    </row>
    <row r="513" spans="1:19" x14ac:dyDescent="0.3">
      <c r="A513" s="198" t="str">
        <f>IF(AND(VALUE(RIGHT(O513,2))&lt;=controle_formulario!$E$16,VALUE(RIGHT(K513,2))&lt;=controle_formulario!$C$10,H513&lt;=Criterios!$C$31+controle_formulario!$I$16-1),"SIM","NÃO")</f>
        <v>NÃO</v>
      </c>
      <c r="B513" s="198">
        <f t="shared" si="215"/>
        <v>0</v>
      </c>
      <c r="C513" s="198" t="str">
        <f t="shared" si="216"/>
        <v>Formrol</v>
      </c>
      <c r="D513" s="179"/>
      <c r="E513" s="198" t="str">
        <f t="shared" si="217"/>
        <v>Planilha 1</v>
      </c>
      <c r="F513" s="198" t="str">
        <f t="shared" si="218"/>
        <v>Geral</v>
      </c>
      <c r="G513" s="198" t="s">
        <v>19</v>
      </c>
      <c r="H513" s="199">
        <f t="shared" ref="H513:I521" si="245">H503</f>
        <v>2027</v>
      </c>
      <c r="I513" s="200">
        <f t="shared" ca="1" si="245"/>
        <v>36.027114594978322</v>
      </c>
      <c r="J513" s="200" t="str">
        <f>IF(controle_formulario!$C$39=1,controle_formulario!$C$37,controle_formulario!$C$38)</f>
        <v>Epidemiologico Beneficiarios Saude Suplementar</v>
      </c>
      <c r="K513" s="197" t="s">
        <v>168</v>
      </c>
      <c r="L513" s="197" t="str">
        <f t="shared" si="244"/>
        <v xml:space="preserve"> Conjunto de Tratamentos-Padrão</v>
      </c>
      <c r="M513" s="201" t="e">
        <f>M512</f>
        <v>#REF!</v>
      </c>
      <c r="N513" s="201">
        <f>N512</f>
        <v>0</v>
      </c>
      <c r="O513" s="197" t="s">
        <v>181</v>
      </c>
      <c r="P513" s="197" t="str">
        <f t="shared" si="241"/>
        <v>Taxa de difusão em X anos: XX%</v>
      </c>
      <c r="Q513" s="202">
        <f>'Market Share'!E89</f>
        <v>0</v>
      </c>
      <c r="R513" s="203">
        <f t="shared" ref="R513:S521" ca="1" si="246">R503</f>
        <v>0</v>
      </c>
      <c r="S513" s="204">
        <f t="shared" ca="1" si="246"/>
        <v>-4124866.8092641174</v>
      </c>
    </row>
    <row r="514" spans="1:19" x14ac:dyDescent="0.3">
      <c r="A514" s="198" t="str">
        <f>IF(AND(VALUE(RIGHT(O514,2))&lt;=controle_formulario!$E$16,VALUE(RIGHT(K514,2))&lt;=controle_formulario!$C$10,H514&lt;=Criterios!$C$31+controle_formulario!$I$16-1),"SIM","NÃO")</f>
        <v>NÃO</v>
      </c>
      <c r="B514" s="198">
        <f t="shared" si="215"/>
        <v>0</v>
      </c>
      <c r="C514" s="198" t="str">
        <f t="shared" si="216"/>
        <v>Formrol</v>
      </c>
      <c r="D514" s="179"/>
      <c r="E514" s="198" t="str">
        <f t="shared" si="217"/>
        <v>Planilha 1</v>
      </c>
      <c r="F514" s="198" t="str">
        <f t="shared" si="218"/>
        <v>Geral</v>
      </c>
      <c r="G514" s="198" t="s">
        <v>20</v>
      </c>
      <c r="H514" s="199">
        <f t="shared" si="245"/>
        <v>2028</v>
      </c>
      <c r="I514" s="200">
        <f t="shared" ca="1" si="245"/>
        <v>36.142742272880319</v>
      </c>
      <c r="J514" s="200" t="str">
        <f>IF(controle_formulario!$C$39=1,controle_formulario!$C$37,controle_formulario!$C$38)</f>
        <v>Epidemiologico Beneficiarios Saude Suplementar</v>
      </c>
      <c r="K514" s="197" t="s">
        <v>168</v>
      </c>
      <c r="L514" s="197" t="str">
        <f t="shared" si="244"/>
        <v xml:space="preserve"> Conjunto de Tratamentos-Padrão</v>
      </c>
      <c r="M514" s="201" t="e">
        <f t="shared" ref="M514:N521" si="247">M513</f>
        <v>#REF!</v>
      </c>
      <c r="N514" s="201">
        <f t="shared" si="247"/>
        <v>0</v>
      </c>
      <c r="O514" s="197" t="s">
        <v>181</v>
      </c>
      <c r="P514" s="197" t="str">
        <f t="shared" si="241"/>
        <v>Taxa de difusão em X anos: XX%</v>
      </c>
      <c r="Q514" s="202">
        <f>'Market Share'!E90</f>
        <v>0</v>
      </c>
      <c r="R514" s="203">
        <f t="shared" ca="1" si="246"/>
        <v>0</v>
      </c>
      <c r="S514" s="204">
        <f t="shared" ca="1" si="246"/>
        <v>-4138105.4151356164</v>
      </c>
    </row>
    <row r="515" spans="1:19" x14ac:dyDescent="0.3">
      <c r="A515" s="198" t="str">
        <f>IF(AND(VALUE(RIGHT(O515,2))&lt;=controle_formulario!$E$16,VALUE(RIGHT(K515,2))&lt;=controle_formulario!$C$10,H515&lt;=Criterios!$C$31+controle_formulario!$I$16-1),"SIM","NÃO")</f>
        <v>NÃO</v>
      </c>
      <c r="B515" s="198">
        <f t="shared" ref="B515:B551" si="248">$W$2</f>
        <v>0</v>
      </c>
      <c r="C515" s="198" t="str">
        <f t="shared" ref="C515:C551" si="249">$W$3</f>
        <v>Formrol</v>
      </c>
      <c r="D515" s="179"/>
      <c r="E515" s="198" t="str">
        <f t="shared" ref="E515:E551" si="250">$W$5</f>
        <v>Planilha 1</v>
      </c>
      <c r="F515" s="198" t="str">
        <f t="shared" ref="F515:F551" si="251">$W$6</f>
        <v>Geral</v>
      </c>
      <c r="G515" s="198" t="s">
        <v>21</v>
      </c>
      <c r="H515" s="199">
        <f t="shared" si="245"/>
        <v>2029</v>
      </c>
      <c r="I515" s="200">
        <f t="shared" ca="1" si="245"/>
        <v>36.250027878529522</v>
      </c>
      <c r="J515" s="200" t="str">
        <f>IF(controle_formulario!$C$39=1,controle_formulario!$C$37,controle_formulario!$C$38)</f>
        <v>Epidemiologico Beneficiarios Saude Suplementar</v>
      </c>
      <c r="K515" s="197" t="s">
        <v>168</v>
      </c>
      <c r="L515" s="197" t="str">
        <f t="shared" si="244"/>
        <v xml:space="preserve"> Conjunto de Tratamentos-Padrão</v>
      </c>
      <c r="M515" s="201" t="e">
        <f t="shared" si="247"/>
        <v>#REF!</v>
      </c>
      <c r="N515" s="201">
        <f t="shared" si="247"/>
        <v>0</v>
      </c>
      <c r="O515" s="197" t="s">
        <v>181</v>
      </c>
      <c r="P515" s="197" t="str">
        <f t="shared" si="241"/>
        <v>Taxa de difusão em X anos: XX%</v>
      </c>
      <c r="Q515" s="202">
        <f>'Market Share'!E91</f>
        <v>0</v>
      </c>
      <c r="R515" s="203">
        <f t="shared" ca="1" si="246"/>
        <v>0</v>
      </c>
      <c r="S515" s="204">
        <f t="shared" ca="1" si="246"/>
        <v>-4150388.9087994657</v>
      </c>
    </row>
    <row r="516" spans="1:19" x14ac:dyDescent="0.3">
      <c r="A516" s="198" t="str">
        <f>IF(AND(VALUE(RIGHT(O516,2))&lt;=controle_formulario!$E$16,VALUE(RIGHT(K516,2))&lt;=controle_formulario!$C$10,H516&lt;=Criterios!$C$31+controle_formulario!$I$16-1),"SIM","NÃO")</f>
        <v>NÃO</v>
      </c>
      <c r="B516" s="198">
        <f t="shared" si="248"/>
        <v>0</v>
      </c>
      <c r="C516" s="198" t="str">
        <f t="shared" si="249"/>
        <v>Formrol</v>
      </c>
      <c r="D516" s="179"/>
      <c r="E516" s="198" t="str">
        <f t="shared" si="250"/>
        <v>Planilha 1</v>
      </c>
      <c r="F516" s="198" t="str">
        <f t="shared" si="251"/>
        <v>Geral</v>
      </c>
      <c r="G516" s="198" t="s">
        <v>22</v>
      </c>
      <c r="H516" s="199">
        <f t="shared" si="245"/>
        <v>2030</v>
      </c>
      <c r="I516" s="200">
        <f t="shared" ca="1" si="245"/>
        <v>36.350592396534239</v>
      </c>
      <c r="J516" s="200" t="str">
        <f>IF(controle_formulario!$C$39=1,controle_formulario!$C$37,controle_formulario!$C$38)</f>
        <v>Epidemiologico Beneficiarios Saude Suplementar</v>
      </c>
      <c r="K516" s="197" t="s">
        <v>168</v>
      </c>
      <c r="L516" s="197" t="str">
        <f t="shared" si="244"/>
        <v xml:space="preserve"> Conjunto de Tratamentos-Padrão</v>
      </c>
      <c r="M516" s="201" t="e">
        <f t="shared" si="247"/>
        <v>#REF!</v>
      </c>
      <c r="N516" s="201">
        <f t="shared" si="247"/>
        <v>0</v>
      </c>
      <c r="O516" s="197" t="s">
        <v>181</v>
      </c>
      <c r="P516" s="197" t="str">
        <f t="shared" si="241"/>
        <v>Taxa de difusão em X anos: XX%</v>
      </c>
      <c r="Q516" s="202">
        <f>'Market Share'!E92</f>
        <v>0</v>
      </c>
      <c r="R516" s="203">
        <f t="shared" ca="1" si="246"/>
        <v>0</v>
      </c>
      <c r="S516" s="204">
        <f t="shared" ca="1" si="246"/>
        <v>-4161902.8822933384</v>
      </c>
    </row>
    <row r="517" spans="1:19" x14ac:dyDescent="0.3">
      <c r="A517" s="198" t="str">
        <f>IF(AND(VALUE(RIGHT(O517,2))&lt;=controle_formulario!$E$16,VALUE(RIGHT(K517,2))&lt;=controle_formulario!$C$10,H517&lt;=Criterios!$C$31+controle_formulario!$I$16-1),"SIM","NÃO")</f>
        <v>NÃO</v>
      </c>
      <c r="B517" s="198">
        <f t="shared" si="248"/>
        <v>0</v>
      </c>
      <c r="C517" s="198" t="str">
        <f t="shared" si="249"/>
        <v>Formrol</v>
      </c>
      <c r="D517" s="179"/>
      <c r="E517" s="198" t="str">
        <f t="shared" si="250"/>
        <v>Planilha 1</v>
      </c>
      <c r="F517" s="198" t="str">
        <f t="shared" si="251"/>
        <v>Geral</v>
      </c>
      <c r="G517" s="198" t="s">
        <v>23</v>
      </c>
      <c r="H517" s="199">
        <f t="shared" si="245"/>
        <v>2031</v>
      </c>
      <c r="I517" s="200">
        <f t="shared" si="245"/>
        <v>0</v>
      </c>
      <c r="J517" s="200" t="str">
        <f>IF(controle_formulario!$C$39=1,controle_formulario!$C$37,controle_formulario!$C$38)</f>
        <v>Epidemiologico Beneficiarios Saude Suplementar</v>
      </c>
      <c r="K517" s="197" t="s">
        <v>168</v>
      </c>
      <c r="L517" s="197" t="str">
        <f t="shared" si="244"/>
        <v xml:space="preserve"> Conjunto de Tratamentos-Padrão</v>
      </c>
      <c r="M517" s="201" t="e">
        <f t="shared" si="247"/>
        <v>#REF!</v>
      </c>
      <c r="N517" s="201">
        <f t="shared" si="247"/>
        <v>0</v>
      </c>
      <c r="O517" s="197" t="s">
        <v>181</v>
      </c>
      <c r="P517" s="197" t="str">
        <f t="shared" si="241"/>
        <v>Taxa de difusão em X anos: XX%</v>
      </c>
      <c r="Q517" s="202">
        <f>'Market Share'!E93</f>
        <v>0</v>
      </c>
      <c r="R517" s="203">
        <f t="shared" ca="1" si="246"/>
        <v>0</v>
      </c>
      <c r="S517" s="204">
        <f t="shared" ca="1" si="246"/>
        <v>0</v>
      </c>
    </row>
    <row r="518" spans="1:19" x14ac:dyDescent="0.3">
      <c r="A518" s="198" t="str">
        <f>IF(AND(VALUE(RIGHT(O518,2))&lt;=controle_formulario!$E$16,VALUE(RIGHT(K518,2))&lt;=controle_formulario!$C$10,H518&lt;=Criterios!$C$31+controle_formulario!$I$16-1),"SIM","NÃO")</f>
        <v>NÃO</v>
      </c>
      <c r="B518" s="198">
        <f t="shared" si="248"/>
        <v>0</v>
      </c>
      <c r="C518" s="198" t="str">
        <f t="shared" si="249"/>
        <v>Formrol</v>
      </c>
      <c r="D518" s="179"/>
      <c r="E518" s="198" t="str">
        <f t="shared" si="250"/>
        <v>Planilha 1</v>
      </c>
      <c r="F518" s="198" t="str">
        <f t="shared" si="251"/>
        <v>Geral</v>
      </c>
      <c r="G518" s="198" t="s">
        <v>24</v>
      </c>
      <c r="H518" s="199">
        <f t="shared" si="245"/>
        <v>2032</v>
      </c>
      <c r="I518" s="200">
        <f t="shared" si="245"/>
        <v>0</v>
      </c>
      <c r="J518" s="200" t="str">
        <f>IF(controle_formulario!$C$39=1,controle_formulario!$C$37,controle_formulario!$C$38)</f>
        <v>Epidemiologico Beneficiarios Saude Suplementar</v>
      </c>
      <c r="K518" s="197" t="s">
        <v>168</v>
      </c>
      <c r="L518" s="197" t="str">
        <f t="shared" si="244"/>
        <v xml:space="preserve"> Conjunto de Tratamentos-Padrão</v>
      </c>
      <c r="M518" s="201" t="e">
        <f t="shared" si="247"/>
        <v>#REF!</v>
      </c>
      <c r="N518" s="201">
        <f t="shared" si="247"/>
        <v>0</v>
      </c>
      <c r="O518" s="197" t="s">
        <v>181</v>
      </c>
      <c r="P518" s="197" t="str">
        <f t="shared" si="241"/>
        <v>Taxa de difusão em X anos: XX%</v>
      </c>
      <c r="Q518" s="202">
        <f>'Market Share'!E94</f>
        <v>0</v>
      </c>
      <c r="R518" s="203">
        <f t="shared" ca="1" si="246"/>
        <v>0</v>
      </c>
      <c r="S518" s="204">
        <f t="shared" ca="1" si="246"/>
        <v>0</v>
      </c>
    </row>
    <row r="519" spans="1:19" x14ac:dyDescent="0.3">
      <c r="A519" s="198" t="str">
        <f>IF(AND(VALUE(RIGHT(O519,2))&lt;=controle_formulario!$E$16,VALUE(RIGHT(K519,2))&lt;=controle_formulario!$C$10,H519&lt;=Criterios!$C$31+controle_formulario!$I$16-1),"SIM","NÃO")</f>
        <v>NÃO</v>
      </c>
      <c r="B519" s="198">
        <f t="shared" si="248"/>
        <v>0</v>
      </c>
      <c r="C519" s="198" t="str">
        <f t="shared" si="249"/>
        <v>Formrol</v>
      </c>
      <c r="D519" s="179"/>
      <c r="E519" s="198" t="str">
        <f t="shared" si="250"/>
        <v>Planilha 1</v>
      </c>
      <c r="F519" s="198" t="str">
        <f t="shared" si="251"/>
        <v>Geral</v>
      </c>
      <c r="G519" s="198" t="s">
        <v>25</v>
      </c>
      <c r="H519" s="199">
        <f t="shared" si="245"/>
        <v>2033</v>
      </c>
      <c r="I519" s="200">
        <f t="shared" si="245"/>
        <v>0</v>
      </c>
      <c r="J519" s="200" t="str">
        <f>IF(controle_formulario!$C$39=1,controle_formulario!$C$37,controle_formulario!$C$38)</f>
        <v>Epidemiologico Beneficiarios Saude Suplementar</v>
      </c>
      <c r="K519" s="197" t="s">
        <v>168</v>
      </c>
      <c r="L519" s="197" t="str">
        <f t="shared" si="244"/>
        <v xml:space="preserve"> Conjunto de Tratamentos-Padrão</v>
      </c>
      <c r="M519" s="201" t="e">
        <f t="shared" si="247"/>
        <v>#REF!</v>
      </c>
      <c r="N519" s="201">
        <f t="shared" si="247"/>
        <v>0</v>
      </c>
      <c r="O519" s="197" t="s">
        <v>181</v>
      </c>
      <c r="P519" s="197" t="str">
        <f t="shared" si="241"/>
        <v>Taxa de difusão em X anos: XX%</v>
      </c>
      <c r="Q519" s="202">
        <f>'Market Share'!E95</f>
        <v>0</v>
      </c>
      <c r="R519" s="203">
        <f t="shared" ca="1" si="246"/>
        <v>0</v>
      </c>
      <c r="S519" s="204">
        <f t="shared" ca="1" si="246"/>
        <v>0</v>
      </c>
    </row>
    <row r="520" spans="1:19" x14ac:dyDescent="0.3">
      <c r="A520" s="198" t="str">
        <f>IF(AND(VALUE(RIGHT(O520,2))&lt;=controle_formulario!$E$16,VALUE(RIGHT(K520,2))&lt;=controle_formulario!$C$10,H520&lt;=Criterios!$C$31+controle_formulario!$I$16-1),"SIM","NÃO")</f>
        <v>NÃO</v>
      </c>
      <c r="B520" s="198">
        <f t="shared" si="248"/>
        <v>0</v>
      </c>
      <c r="C520" s="198" t="str">
        <f t="shared" si="249"/>
        <v>Formrol</v>
      </c>
      <c r="D520" s="179"/>
      <c r="E520" s="198" t="str">
        <f t="shared" si="250"/>
        <v>Planilha 1</v>
      </c>
      <c r="F520" s="198" t="str">
        <f t="shared" si="251"/>
        <v>Geral</v>
      </c>
      <c r="G520" s="198" t="s">
        <v>26</v>
      </c>
      <c r="H520" s="199">
        <f t="shared" si="245"/>
        <v>2034</v>
      </c>
      <c r="I520" s="200">
        <f t="shared" si="245"/>
        <v>0</v>
      </c>
      <c r="J520" s="200" t="str">
        <f>IF(controle_formulario!$C$39=1,controle_formulario!$C$37,controle_formulario!$C$38)</f>
        <v>Epidemiologico Beneficiarios Saude Suplementar</v>
      </c>
      <c r="K520" s="197" t="s">
        <v>168</v>
      </c>
      <c r="L520" s="197" t="str">
        <f t="shared" si="244"/>
        <v xml:space="preserve"> Conjunto de Tratamentos-Padrão</v>
      </c>
      <c r="M520" s="201" t="e">
        <f t="shared" si="247"/>
        <v>#REF!</v>
      </c>
      <c r="N520" s="201">
        <f t="shared" si="247"/>
        <v>0</v>
      </c>
      <c r="O520" s="197" t="s">
        <v>181</v>
      </c>
      <c r="P520" s="197" t="str">
        <f t="shared" si="241"/>
        <v>Taxa de difusão em X anos: XX%</v>
      </c>
      <c r="Q520" s="202">
        <f>'Market Share'!E96</f>
        <v>0</v>
      </c>
      <c r="R520" s="203">
        <f t="shared" ca="1" si="246"/>
        <v>0</v>
      </c>
      <c r="S520" s="204">
        <f t="shared" ca="1" si="246"/>
        <v>0</v>
      </c>
    </row>
    <row r="521" spans="1:19" ht="15" thickBot="1" x14ac:dyDescent="0.35">
      <c r="A521" s="205" t="str">
        <f>IF(AND(VALUE(RIGHT(O521,2))&lt;=controle_formulario!$E$16,VALUE(RIGHT(K521,2))&lt;=controle_formulario!$C$10,H521&lt;=Criterios!$C$31+controle_formulario!$I$16-1),"SIM","NÃO")</f>
        <v>NÃO</v>
      </c>
      <c r="B521" s="205">
        <f t="shared" si="248"/>
        <v>0</v>
      </c>
      <c r="C521" s="205" t="str">
        <f t="shared" si="249"/>
        <v>Formrol</v>
      </c>
      <c r="D521" s="180"/>
      <c r="E521" s="205" t="str">
        <f t="shared" si="250"/>
        <v>Planilha 1</v>
      </c>
      <c r="F521" s="205" t="str">
        <f t="shared" si="251"/>
        <v>Geral</v>
      </c>
      <c r="G521" s="205" t="s">
        <v>27</v>
      </c>
      <c r="H521" s="212">
        <f t="shared" si="245"/>
        <v>2035</v>
      </c>
      <c r="I521" s="213">
        <f t="shared" si="245"/>
        <v>0</v>
      </c>
      <c r="J521" s="207" t="str">
        <f>IF(controle_formulario!$C$39=1,controle_formulario!$C$37,controle_formulario!$C$38)</f>
        <v>Epidemiologico Beneficiarios Saude Suplementar</v>
      </c>
      <c r="K521" s="208" t="s">
        <v>168</v>
      </c>
      <c r="L521" s="208" t="str">
        <f t="shared" si="244"/>
        <v xml:space="preserve"> Conjunto de Tratamentos-Padrão</v>
      </c>
      <c r="M521" s="201" t="e">
        <f t="shared" si="247"/>
        <v>#REF!</v>
      </c>
      <c r="N521" s="201">
        <f t="shared" si="247"/>
        <v>0</v>
      </c>
      <c r="O521" s="214" t="s">
        <v>181</v>
      </c>
      <c r="P521" s="214" t="str">
        <f t="shared" si="241"/>
        <v>Taxa de difusão em X anos: XX%</v>
      </c>
      <c r="Q521" s="215">
        <f>'Market Share'!E97</f>
        <v>0</v>
      </c>
      <c r="R521" s="216">
        <f t="shared" ca="1" si="246"/>
        <v>0</v>
      </c>
      <c r="S521" s="217">
        <f t="shared" ca="1" si="246"/>
        <v>0</v>
      </c>
    </row>
    <row r="522" spans="1:19" x14ac:dyDescent="0.3">
      <c r="A522" s="189" t="str">
        <f>IF(AND(VALUE(RIGHT(O522,2))&lt;=controle_formulario!$E$16,VALUE(RIGHT(K522,2))&lt;=controle_formulario!$C$10,H522&lt;=Criterios!$C$31+controle_formulario!$I$16-1),"SIM","NÃO")</f>
        <v>NÃO</v>
      </c>
      <c r="B522" s="189">
        <f t="shared" si="248"/>
        <v>0</v>
      </c>
      <c r="C522" s="189" t="str">
        <f t="shared" si="249"/>
        <v>Formrol</v>
      </c>
      <c r="D522" s="177"/>
      <c r="E522" s="189" t="str">
        <f t="shared" si="250"/>
        <v>Planilha 1</v>
      </c>
      <c r="F522" s="189" t="str">
        <f t="shared" si="251"/>
        <v>Geral</v>
      </c>
      <c r="G522" s="189" t="s">
        <v>18</v>
      </c>
      <c r="H522" s="190">
        <f>H512</f>
        <v>2026</v>
      </c>
      <c r="I522" s="191">
        <f ca="1">I512</f>
        <v>35.902021176061034</v>
      </c>
      <c r="J522" s="191" t="str">
        <f>IF(controle_formulario!$C$39=1,controle_formulario!$C$37,controle_formulario!$C$38)</f>
        <v>Epidemiologico Beneficiarios Saude Suplementar</v>
      </c>
      <c r="K522" s="192" t="s">
        <v>169</v>
      </c>
      <c r="L522" s="192">
        <f t="shared" ref="L522:L531" si="252">trat.b</f>
        <v>0</v>
      </c>
      <c r="M522" s="193">
        <f>Resumo!$D$40</f>
        <v>0</v>
      </c>
      <c r="N522" s="193">
        <f>Resumo!$D$49</f>
        <v>0</v>
      </c>
      <c r="O522" s="192" t="s">
        <v>181</v>
      </c>
      <c r="P522" s="192" t="str">
        <f t="shared" si="241"/>
        <v>Taxa de difusão em X anos: XX%</v>
      </c>
      <c r="Q522" s="194">
        <f>'Market Share'!F88</f>
        <v>0</v>
      </c>
      <c r="R522" s="195">
        <f ca="1">R512</f>
        <v>0</v>
      </c>
      <c r="S522" s="196">
        <f ca="1">S512</f>
        <v>-4110544.4385289042</v>
      </c>
    </row>
    <row r="523" spans="1:19" x14ac:dyDescent="0.3">
      <c r="A523" s="198" t="str">
        <f>IF(AND(VALUE(RIGHT(O523,2))&lt;=controle_formulario!$E$16,VALUE(RIGHT(K523,2))&lt;=controle_formulario!$C$10,H523&lt;=Criterios!$C$31+controle_formulario!$I$16-1),"SIM","NÃO")</f>
        <v>NÃO</v>
      </c>
      <c r="B523" s="198">
        <f t="shared" si="248"/>
        <v>0</v>
      </c>
      <c r="C523" s="198" t="str">
        <f t="shared" si="249"/>
        <v>Formrol</v>
      </c>
      <c r="D523" s="179"/>
      <c r="E523" s="198" t="str">
        <f t="shared" si="250"/>
        <v>Planilha 1</v>
      </c>
      <c r="F523" s="198" t="str">
        <f t="shared" si="251"/>
        <v>Geral</v>
      </c>
      <c r="G523" s="198" t="s">
        <v>19</v>
      </c>
      <c r="H523" s="199">
        <f t="shared" ref="H523:I531" si="253">H513</f>
        <v>2027</v>
      </c>
      <c r="I523" s="200">
        <f t="shared" ca="1" si="253"/>
        <v>36.027114594978322</v>
      </c>
      <c r="J523" s="200" t="str">
        <f>IF(controle_formulario!$C$39=1,controle_formulario!$C$37,controle_formulario!$C$38)</f>
        <v>Epidemiologico Beneficiarios Saude Suplementar</v>
      </c>
      <c r="K523" s="197" t="s">
        <v>169</v>
      </c>
      <c r="L523" s="197">
        <f t="shared" si="252"/>
        <v>0</v>
      </c>
      <c r="M523" s="201">
        <f>M522</f>
        <v>0</v>
      </c>
      <c r="N523" s="201">
        <f>N522</f>
        <v>0</v>
      </c>
      <c r="O523" s="197" t="s">
        <v>181</v>
      </c>
      <c r="P523" s="197" t="str">
        <f t="shared" si="241"/>
        <v>Taxa de difusão em X anos: XX%</v>
      </c>
      <c r="Q523" s="202">
        <f>'Market Share'!F89</f>
        <v>0</v>
      </c>
      <c r="R523" s="203">
        <f t="shared" ref="R523:S531" ca="1" si="254">R513</f>
        <v>0</v>
      </c>
      <c r="S523" s="204">
        <f t="shared" ca="1" si="254"/>
        <v>-4124866.8092641174</v>
      </c>
    </row>
    <row r="524" spans="1:19" x14ac:dyDescent="0.3">
      <c r="A524" s="198" t="str">
        <f>IF(AND(VALUE(RIGHT(O524,2))&lt;=controle_formulario!$E$16,VALUE(RIGHT(K524,2))&lt;=controle_formulario!$C$10,H524&lt;=Criterios!$C$31+controle_formulario!$I$16-1),"SIM","NÃO")</f>
        <v>NÃO</v>
      </c>
      <c r="B524" s="198">
        <f t="shared" si="248"/>
        <v>0</v>
      </c>
      <c r="C524" s="198" t="str">
        <f t="shared" si="249"/>
        <v>Formrol</v>
      </c>
      <c r="D524" s="179"/>
      <c r="E524" s="198" t="str">
        <f t="shared" si="250"/>
        <v>Planilha 1</v>
      </c>
      <c r="F524" s="198" t="str">
        <f t="shared" si="251"/>
        <v>Geral</v>
      </c>
      <c r="G524" s="198" t="s">
        <v>20</v>
      </c>
      <c r="H524" s="199">
        <f t="shared" si="253"/>
        <v>2028</v>
      </c>
      <c r="I524" s="200">
        <f t="shared" ca="1" si="253"/>
        <v>36.142742272880319</v>
      </c>
      <c r="J524" s="200" t="str">
        <f>IF(controle_formulario!$C$39=1,controle_formulario!$C$37,controle_formulario!$C$38)</f>
        <v>Epidemiologico Beneficiarios Saude Suplementar</v>
      </c>
      <c r="K524" s="197" t="s">
        <v>169</v>
      </c>
      <c r="L524" s="197">
        <f t="shared" si="252"/>
        <v>0</v>
      </c>
      <c r="M524" s="201">
        <f t="shared" ref="M524:N531" si="255">M523</f>
        <v>0</v>
      </c>
      <c r="N524" s="201">
        <f t="shared" si="255"/>
        <v>0</v>
      </c>
      <c r="O524" s="197" t="s">
        <v>181</v>
      </c>
      <c r="P524" s="197" t="str">
        <f t="shared" si="241"/>
        <v>Taxa de difusão em X anos: XX%</v>
      </c>
      <c r="Q524" s="202">
        <f>'Market Share'!F90</f>
        <v>0</v>
      </c>
      <c r="R524" s="203">
        <f t="shared" ca="1" si="254"/>
        <v>0</v>
      </c>
      <c r="S524" s="204">
        <f t="shared" ca="1" si="254"/>
        <v>-4138105.4151356164</v>
      </c>
    </row>
    <row r="525" spans="1:19" x14ac:dyDescent="0.3">
      <c r="A525" s="198" t="str">
        <f>IF(AND(VALUE(RIGHT(O525,2))&lt;=controle_formulario!$E$16,VALUE(RIGHT(K525,2))&lt;=controle_formulario!$C$10,H525&lt;=Criterios!$C$31+controle_formulario!$I$16-1),"SIM","NÃO")</f>
        <v>NÃO</v>
      </c>
      <c r="B525" s="198">
        <f t="shared" si="248"/>
        <v>0</v>
      </c>
      <c r="C525" s="198" t="str">
        <f t="shared" si="249"/>
        <v>Formrol</v>
      </c>
      <c r="D525" s="179"/>
      <c r="E525" s="198" t="str">
        <f t="shared" si="250"/>
        <v>Planilha 1</v>
      </c>
      <c r="F525" s="198" t="str">
        <f t="shared" si="251"/>
        <v>Geral</v>
      </c>
      <c r="G525" s="198" t="s">
        <v>21</v>
      </c>
      <c r="H525" s="199">
        <f t="shared" si="253"/>
        <v>2029</v>
      </c>
      <c r="I525" s="200">
        <f t="shared" ca="1" si="253"/>
        <v>36.250027878529522</v>
      </c>
      <c r="J525" s="200" t="str">
        <f>IF(controle_formulario!$C$39=1,controle_formulario!$C$37,controle_formulario!$C$38)</f>
        <v>Epidemiologico Beneficiarios Saude Suplementar</v>
      </c>
      <c r="K525" s="197" t="s">
        <v>169</v>
      </c>
      <c r="L525" s="197">
        <f t="shared" si="252"/>
        <v>0</v>
      </c>
      <c r="M525" s="201">
        <f t="shared" si="255"/>
        <v>0</v>
      </c>
      <c r="N525" s="201">
        <f t="shared" si="255"/>
        <v>0</v>
      </c>
      <c r="O525" s="197" t="s">
        <v>181</v>
      </c>
      <c r="P525" s="197" t="str">
        <f t="shared" si="241"/>
        <v>Taxa de difusão em X anos: XX%</v>
      </c>
      <c r="Q525" s="202">
        <f>'Market Share'!F91</f>
        <v>0</v>
      </c>
      <c r="R525" s="203">
        <f t="shared" ca="1" si="254"/>
        <v>0</v>
      </c>
      <c r="S525" s="204">
        <f t="shared" ca="1" si="254"/>
        <v>-4150388.9087994657</v>
      </c>
    </row>
    <row r="526" spans="1:19" x14ac:dyDescent="0.3">
      <c r="A526" s="198" t="str">
        <f>IF(AND(VALUE(RIGHT(O526,2))&lt;=controle_formulario!$E$16,VALUE(RIGHT(K526,2))&lt;=controle_formulario!$C$10,H526&lt;=Criterios!$C$31+controle_formulario!$I$16-1),"SIM","NÃO")</f>
        <v>NÃO</v>
      </c>
      <c r="B526" s="198">
        <f t="shared" si="248"/>
        <v>0</v>
      </c>
      <c r="C526" s="198" t="str">
        <f t="shared" si="249"/>
        <v>Formrol</v>
      </c>
      <c r="D526" s="179"/>
      <c r="E526" s="198" t="str">
        <f t="shared" si="250"/>
        <v>Planilha 1</v>
      </c>
      <c r="F526" s="198" t="str">
        <f t="shared" si="251"/>
        <v>Geral</v>
      </c>
      <c r="G526" s="198" t="s">
        <v>22</v>
      </c>
      <c r="H526" s="199">
        <f t="shared" si="253"/>
        <v>2030</v>
      </c>
      <c r="I526" s="200">
        <f t="shared" ca="1" si="253"/>
        <v>36.350592396534239</v>
      </c>
      <c r="J526" s="200" t="str">
        <f>IF(controle_formulario!$C$39=1,controle_formulario!$C$37,controle_formulario!$C$38)</f>
        <v>Epidemiologico Beneficiarios Saude Suplementar</v>
      </c>
      <c r="K526" s="197" t="s">
        <v>169</v>
      </c>
      <c r="L526" s="197">
        <f t="shared" si="252"/>
        <v>0</v>
      </c>
      <c r="M526" s="201">
        <f t="shared" si="255"/>
        <v>0</v>
      </c>
      <c r="N526" s="201">
        <f t="shared" si="255"/>
        <v>0</v>
      </c>
      <c r="O526" s="197" t="s">
        <v>181</v>
      </c>
      <c r="P526" s="197" t="str">
        <f t="shared" si="241"/>
        <v>Taxa de difusão em X anos: XX%</v>
      </c>
      <c r="Q526" s="202">
        <f>'Market Share'!F92</f>
        <v>0</v>
      </c>
      <c r="R526" s="203">
        <f t="shared" ca="1" si="254"/>
        <v>0</v>
      </c>
      <c r="S526" s="204">
        <f t="shared" ca="1" si="254"/>
        <v>-4161902.8822933384</v>
      </c>
    </row>
    <row r="527" spans="1:19" x14ac:dyDescent="0.3">
      <c r="A527" s="198" t="str">
        <f>IF(AND(VALUE(RIGHT(O527,2))&lt;=controle_formulario!$E$16,VALUE(RIGHT(K527,2))&lt;=controle_formulario!$C$10,H527&lt;=Criterios!$C$31+controle_formulario!$I$16-1),"SIM","NÃO")</f>
        <v>NÃO</v>
      </c>
      <c r="B527" s="198">
        <f t="shared" si="248"/>
        <v>0</v>
      </c>
      <c r="C527" s="198" t="str">
        <f t="shared" si="249"/>
        <v>Formrol</v>
      </c>
      <c r="D527" s="179"/>
      <c r="E527" s="198" t="str">
        <f t="shared" si="250"/>
        <v>Planilha 1</v>
      </c>
      <c r="F527" s="198" t="str">
        <f t="shared" si="251"/>
        <v>Geral</v>
      </c>
      <c r="G527" s="198" t="s">
        <v>23</v>
      </c>
      <c r="H527" s="199">
        <f t="shared" si="253"/>
        <v>2031</v>
      </c>
      <c r="I527" s="200">
        <f t="shared" si="253"/>
        <v>0</v>
      </c>
      <c r="J527" s="200" t="str">
        <f>IF(controle_formulario!$C$39=1,controle_formulario!$C$37,controle_formulario!$C$38)</f>
        <v>Epidemiologico Beneficiarios Saude Suplementar</v>
      </c>
      <c r="K527" s="197" t="s">
        <v>169</v>
      </c>
      <c r="L527" s="197">
        <f t="shared" si="252"/>
        <v>0</v>
      </c>
      <c r="M527" s="201">
        <f t="shared" si="255"/>
        <v>0</v>
      </c>
      <c r="N527" s="201">
        <f t="shared" si="255"/>
        <v>0</v>
      </c>
      <c r="O527" s="197" t="s">
        <v>181</v>
      </c>
      <c r="P527" s="197" t="str">
        <f t="shared" si="241"/>
        <v>Taxa de difusão em X anos: XX%</v>
      </c>
      <c r="Q527" s="202">
        <f>'Market Share'!F93</f>
        <v>0</v>
      </c>
      <c r="R527" s="203">
        <f t="shared" ca="1" si="254"/>
        <v>0</v>
      </c>
      <c r="S527" s="204">
        <f t="shared" ca="1" si="254"/>
        <v>0</v>
      </c>
    </row>
    <row r="528" spans="1:19" x14ac:dyDescent="0.3">
      <c r="A528" s="198" t="str">
        <f>IF(AND(VALUE(RIGHT(O528,2))&lt;=controle_formulario!$E$16,VALUE(RIGHT(K528,2))&lt;=controle_formulario!$C$10,H528&lt;=Criterios!$C$31+controle_formulario!$I$16-1),"SIM","NÃO")</f>
        <v>NÃO</v>
      </c>
      <c r="B528" s="198">
        <f t="shared" si="248"/>
        <v>0</v>
      </c>
      <c r="C528" s="198" t="str">
        <f t="shared" si="249"/>
        <v>Formrol</v>
      </c>
      <c r="D528" s="179"/>
      <c r="E528" s="198" t="str">
        <f t="shared" si="250"/>
        <v>Planilha 1</v>
      </c>
      <c r="F528" s="198" t="str">
        <f t="shared" si="251"/>
        <v>Geral</v>
      </c>
      <c r="G528" s="198" t="s">
        <v>24</v>
      </c>
      <c r="H528" s="199">
        <f t="shared" si="253"/>
        <v>2032</v>
      </c>
      <c r="I528" s="200">
        <f t="shared" si="253"/>
        <v>0</v>
      </c>
      <c r="J528" s="200" t="str">
        <f>IF(controle_formulario!$C$39=1,controle_formulario!$C$37,controle_formulario!$C$38)</f>
        <v>Epidemiologico Beneficiarios Saude Suplementar</v>
      </c>
      <c r="K528" s="197" t="s">
        <v>169</v>
      </c>
      <c r="L528" s="197">
        <f t="shared" si="252"/>
        <v>0</v>
      </c>
      <c r="M528" s="201">
        <f t="shared" si="255"/>
        <v>0</v>
      </c>
      <c r="N528" s="201">
        <f t="shared" si="255"/>
        <v>0</v>
      </c>
      <c r="O528" s="197" t="s">
        <v>181</v>
      </c>
      <c r="P528" s="197" t="str">
        <f t="shared" si="241"/>
        <v>Taxa de difusão em X anos: XX%</v>
      </c>
      <c r="Q528" s="202">
        <f>'Market Share'!F94</f>
        <v>0</v>
      </c>
      <c r="R528" s="203">
        <f t="shared" ca="1" si="254"/>
        <v>0</v>
      </c>
      <c r="S528" s="204">
        <f t="shared" ca="1" si="254"/>
        <v>0</v>
      </c>
    </row>
    <row r="529" spans="1:19" x14ac:dyDescent="0.3">
      <c r="A529" s="198" t="str">
        <f>IF(AND(VALUE(RIGHT(O529,2))&lt;=controle_formulario!$E$16,VALUE(RIGHT(K529,2))&lt;=controle_formulario!$C$10,H529&lt;=Criterios!$C$31+controle_formulario!$I$16-1),"SIM","NÃO")</f>
        <v>NÃO</v>
      </c>
      <c r="B529" s="198">
        <f t="shared" si="248"/>
        <v>0</v>
      </c>
      <c r="C529" s="198" t="str">
        <f t="shared" si="249"/>
        <v>Formrol</v>
      </c>
      <c r="D529" s="179"/>
      <c r="E529" s="198" t="str">
        <f t="shared" si="250"/>
        <v>Planilha 1</v>
      </c>
      <c r="F529" s="198" t="str">
        <f t="shared" si="251"/>
        <v>Geral</v>
      </c>
      <c r="G529" s="198" t="s">
        <v>25</v>
      </c>
      <c r="H529" s="199">
        <f t="shared" si="253"/>
        <v>2033</v>
      </c>
      <c r="I529" s="200">
        <f t="shared" si="253"/>
        <v>0</v>
      </c>
      <c r="J529" s="200" t="str">
        <f>IF(controle_formulario!$C$39=1,controle_formulario!$C$37,controle_formulario!$C$38)</f>
        <v>Epidemiologico Beneficiarios Saude Suplementar</v>
      </c>
      <c r="K529" s="197" t="s">
        <v>169</v>
      </c>
      <c r="L529" s="197">
        <f t="shared" si="252"/>
        <v>0</v>
      </c>
      <c r="M529" s="201">
        <f t="shared" si="255"/>
        <v>0</v>
      </c>
      <c r="N529" s="201">
        <f t="shared" si="255"/>
        <v>0</v>
      </c>
      <c r="O529" s="197" t="s">
        <v>181</v>
      </c>
      <c r="P529" s="197" t="str">
        <f t="shared" si="241"/>
        <v>Taxa de difusão em X anos: XX%</v>
      </c>
      <c r="Q529" s="202">
        <f>'Market Share'!F95</f>
        <v>0</v>
      </c>
      <c r="R529" s="203">
        <f t="shared" ca="1" si="254"/>
        <v>0</v>
      </c>
      <c r="S529" s="204">
        <f t="shared" ca="1" si="254"/>
        <v>0</v>
      </c>
    </row>
    <row r="530" spans="1:19" x14ac:dyDescent="0.3">
      <c r="A530" s="198" t="str">
        <f>IF(AND(VALUE(RIGHT(O530,2))&lt;=controle_formulario!$E$16,VALUE(RIGHT(K530,2))&lt;=controle_formulario!$C$10,H530&lt;=Criterios!$C$31+controle_formulario!$I$16-1),"SIM","NÃO")</f>
        <v>NÃO</v>
      </c>
      <c r="B530" s="198">
        <f t="shared" si="248"/>
        <v>0</v>
      </c>
      <c r="C530" s="198" t="str">
        <f t="shared" si="249"/>
        <v>Formrol</v>
      </c>
      <c r="D530" s="179"/>
      <c r="E530" s="198" t="str">
        <f t="shared" si="250"/>
        <v>Planilha 1</v>
      </c>
      <c r="F530" s="198" t="str">
        <f t="shared" si="251"/>
        <v>Geral</v>
      </c>
      <c r="G530" s="198" t="s">
        <v>26</v>
      </c>
      <c r="H530" s="199">
        <f t="shared" si="253"/>
        <v>2034</v>
      </c>
      <c r="I530" s="200">
        <f t="shared" si="253"/>
        <v>0</v>
      </c>
      <c r="J530" s="200" t="str">
        <f>IF(controle_formulario!$C$39=1,controle_formulario!$C$37,controle_formulario!$C$38)</f>
        <v>Epidemiologico Beneficiarios Saude Suplementar</v>
      </c>
      <c r="K530" s="197" t="s">
        <v>169</v>
      </c>
      <c r="L530" s="197">
        <f t="shared" si="252"/>
        <v>0</v>
      </c>
      <c r="M530" s="201">
        <f t="shared" si="255"/>
        <v>0</v>
      </c>
      <c r="N530" s="201">
        <f t="shared" si="255"/>
        <v>0</v>
      </c>
      <c r="O530" s="197" t="s">
        <v>181</v>
      </c>
      <c r="P530" s="197" t="str">
        <f t="shared" si="241"/>
        <v>Taxa de difusão em X anos: XX%</v>
      </c>
      <c r="Q530" s="202">
        <f>'Market Share'!F96</f>
        <v>0</v>
      </c>
      <c r="R530" s="203">
        <f t="shared" ca="1" si="254"/>
        <v>0</v>
      </c>
      <c r="S530" s="204">
        <f t="shared" ca="1" si="254"/>
        <v>0</v>
      </c>
    </row>
    <row r="531" spans="1:19" ht="15" thickBot="1" x14ac:dyDescent="0.35">
      <c r="A531" s="205" t="str">
        <f>IF(AND(VALUE(RIGHT(O531,2))&lt;=controle_formulario!$E$16,VALUE(RIGHT(K531,2))&lt;=controle_formulario!$C$10,H531&lt;=Criterios!$C$31+controle_formulario!$I$16-1),"SIM","NÃO")</f>
        <v>NÃO</v>
      </c>
      <c r="B531" s="205">
        <f t="shared" si="248"/>
        <v>0</v>
      </c>
      <c r="C531" s="205" t="str">
        <f t="shared" si="249"/>
        <v>Formrol</v>
      </c>
      <c r="D531" s="180"/>
      <c r="E531" s="205" t="str">
        <f t="shared" si="250"/>
        <v>Planilha 1</v>
      </c>
      <c r="F531" s="205" t="str">
        <f t="shared" si="251"/>
        <v>Geral</v>
      </c>
      <c r="G531" s="205" t="s">
        <v>27</v>
      </c>
      <c r="H531" s="212">
        <f t="shared" si="253"/>
        <v>2035</v>
      </c>
      <c r="I531" s="213">
        <f t="shared" si="253"/>
        <v>0</v>
      </c>
      <c r="J531" s="207" t="str">
        <f>IF(controle_formulario!$C$39=1,controle_formulario!$C$37,controle_formulario!$C$38)</f>
        <v>Epidemiologico Beneficiarios Saude Suplementar</v>
      </c>
      <c r="K531" s="208" t="s">
        <v>169</v>
      </c>
      <c r="L531" s="208">
        <f t="shared" si="252"/>
        <v>0</v>
      </c>
      <c r="M531" s="201">
        <f t="shared" si="255"/>
        <v>0</v>
      </c>
      <c r="N531" s="201">
        <f t="shared" si="255"/>
        <v>0</v>
      </c>
      <c r="O531" s="214" t="s">
        <v>181</v>
      </c>
      <c r="P531" s="214" t="str">
        <f t="shared" si="241"/>
        <v>Taxa de difusão em X anos: XX%</v>
      </c>
      <c r="Q531" s="215">
        <f>'Market Share'!F97</f>
        <v>0</v>
      </c>
      <c r="R531" s="216">
        <f t="shared" ca="1" si="254"/>
        <v>0</v>
      </c>
      <c r="S531" s="217">
        <f t="shared" ca="1" si="254"/>
        <v>0</v>
      </c>
    </row>
    <row r="532" spans="1:19" x14ac:dyDescent="0.3">
      <c r="A532" s="189" t="str">
        <f>IF(AND(VALUE(RIGHT(O532,2))&lt;=controle_formulario!$E$16,VALUE(RIGHT(K532,2))&lt;=controle_formulario!$C$10,H532&lt;=Criterios!$C$31+controle_formulario!$I$16-1),"SIM","NÃO")</f>
        <v>NÃO</v>
      </c>
      <c r="B532" s="189">
        <f t="shared" si="248"/>
        <v>0</v>
      </c>
      <c r="C532" s="189" t="str">
        <f t="shared" si="249"/>
        <v>Formrol</v>
      </c>
      <c r="D532" s="177"/>
      <c r="E532" s="189" t="str">
        <f t="shared" si="250"/>
        <v>Planilha 1</v>
      </c>
      <c r="F532" s="189" t="str">
        <f t="shared" si="251"/>
        <v>Geral</v>
      </c>
      <c r="G532" s="189" t="s">
        <v>18</v>
      </c>
      <c r="H532" s="190">
        <f>H522</f>
        <v>2026</v>
      </c>
      <c r="I532" s="191">
        <f ca="1">I522</f>
        <v>35.902021176061034</v>
      </c>
      <c r="J532" s="191" t="str">
        <f>IF(controle_formulario!$C$39=1,controle_formulario!$C$37,controle_formulario!$C$38)</f>
        <v>Epidemiologico Beneficiarios Saude Suplementar</v>
      </c>
      <c r="K532" s="192" t="s">
        <v>170</v>
      </c>
      <c r="L532" s="192">
        <f t="shared" ref="L532:L541" si="256">trat.c</f>
        <v>0</v>
      </c>
      <c r="M532" s="193">
        <f>Resumo!$D$41</f>
        <v>0</v>
      </c>
      <c r="N532" s="193">
        <f>Resumo!$D$50</f>
        <v>0</v>
      </c>
      <c r="O532" s="192" t="s">
        <v>181</v>
      </c>
      <c r="P532" s="192" t="str">
        <f t="shared" si="241"/>
        <v>Taxa de difusão em X anos: XX%</v>
      </c>
      <c r="Q532" s="194">
        <f>'Market Share'!G88</f>
        <v>0</v>
      </c>
      <c r="R532" s="195">
        <f ca="1">R522</f>
        <v>0</v>
      </c>
      <c r="S532" s="196">
        <f ca="1">S522</f>
        <v>-4110544.4385289042</v>
      </c>
    </row>
    <row r="533" spans="1:19" x14ac:dyDescent="0.3">
      <c r="A533" s="198" t="str">
        <f>IF(AND(VALUE(RIGHT(O533,2))&lt;=controle_formulario!$E$16,VALUE(RIGHT(K533,2))&lt;=controle_formulario!$C$10,H533&lt;=Criterios!$C$31+controle_formulario!$I$16-1),"SIM","NÃO")</f>
        <v>NÃO</v>
      </c>
      <c r="B533" s="198">
        <f t="shared" si="248"/>
        <v>0</v>
      </c>
      <c r="C533" s="198" t="str">
        <f t="shared" si="249"/>
        <v>Formrol</v>
      </c>
      <c r="D533" s="179"/>
      <c r="E533" s="198" t="str">
        <f t="shared" si="250"/>
        <v>Planilha 1</v>
      </c>
      <c r="F533" s="198" t="str">
        <f t="shared" si="251"/>
        <v>Geral</v>
      </c>
      <c r="G533" s="198" t="s">
        <v>19</v>
      </c>
      <c r="H533" s="199">
        <f t="shared" ref="H533:I541" si="257">H523</f>
        <v>2027</v>
      </c>
      <c r="I533" s="200">
        <f t="shared" ca="1" si="257"/>
        <v>36.027114594978322</v>
      </c>
      <c r="J533" s="200" t="str">
        <f>IF(controle_formulario!$C$39=1,controle_formulario!$C$37,controle_formulario!$C$38)</f>
        <v>Epidemiologico Beneficiarios Saude Suplementar</v>
      </c>
      <c r="K533" s="197" t="s">
        <v>170</v>
      </c>
      <c r="L533" s="197">
        <f t="shared" si="256"/>
        <v>0</v>
      </c>
      <c r="M533" s="201">
        <f>M532</f>
        <v>0</v>
      </c>
      <c r="N533" s="201">
        <f>N532</f>
        <v>0</v>
      </c>
      <c r="O533" s="197" t="s">
        <v>181</v>
      </c>
      <c r="P533" s="197" t="str">
        <f t="shared" si="241"/>
        <v>Taxa de difusão em X anos: XX%</v>
      </c>
      <c r="Q533" s="202">
        <f>'Market Share'!G89</f>
        <v>0</v>
      </c>
      <c r="R533" s="203">
        <f t="shared" ref="R533:S541" ca="1" si="258">R523</f>
        <v>0</v>
      </c>
      <c r="S533" s="204">
        <f t="shared" ca="1" si="258"/>
        <v>-4124866.8092641174</v>
      </c>
    </row>
    <row r="534" spans="1:19" x14ac:dyDescent="0.3">
      <c r="A534" s="198" t="str">
        <f>IF(AND(VALUE(RIGHT(O534,2))&lt;=controle_formulario!$E$16,VALUE(RIGHT(K534,2))&lt;=controle_formulario!$C$10,H534&lt;=Criterios!$C$31+controle_formulario!$I$16-1),"SIM","NÃO")</f>
        <v>NÃO</v>
      </c>
      <c r="B534" s="198">
        <f t="shared" si="248"/>
        <v>0</v>
      </c>
      <c r="C534" s="198" t="str">
        <f t="shared" si="249"/>
        <v>Formrol</v>
      </c>
      <c r="D534" s="179"/>
      <c r="E534" s="198" t="str">
        <f t="shared" si="250"/>
        <v>Planilha 1</v>
      </c>
      <c r="F534" s="198" t="str">
        <f t="shared" si="251"/>
        <v>Geral</v>
      </c>
      <c r="G534" s="198" t="s">
        <v>20</v>
      </c>
      <c r="H534" s="199">
        <f t="shared" si="257"/>
        <v>2028</v>
      </c>
      <c r="I534" s="200">
        <f t="shared" ca="1" si="257"/>
        <v>36.142742272880319</v>
      </c>
      <c r="J534" s="200" t="str">
        <f>IF(controle_formulario!$C$39=1,controle_formulario!$C$37,controle_formulario!$C$38)</f>
        <v>Epidemiologico Beneficiarios Saude Suplementar</v>
      </c>
      <c r="K534" s="197" t="s">
        <v>170</v>
      </c>
      <c r="L534" s="197">
        <f t="shared" si="256"/>
        <v>0</v>
      </c>
      <c r="M534" s="201">
        <f t="shared" ref="M534:N541" si="259">M533</f>
        <v>0</v>
      </c>
      <c r="N534" s="201">
        <f t="shared" si="259"/>
        <v>0</v>
      </c>
      <c r="O534" s="197" t="s">
        <v>181</v>
      </c>
      <c r="P534" s="197" t="str">
        <f t="shared" ref="P534:P551" si="260">cen.alt10</f>
        <v>Taxa de difusão em X anos: XX%</v>
      </c>
      <c r="Q534" s="202">
        <f>'Market Share'!G90</f>
        <v>0</v>
      </c>
      <c r="R534" s="203">
        <f t="shared" ca="1" si="258"/>
        <v>0</v>
      </c>
      <c r="S534" s="204">
        <f t="shared" ca="1" si="258"/>
        <v>-4138105.4151356164</v>
      </c>
    </row>
    <row r="535" spans="1:19" x14ac:dyDescent="0.3">
      <c r="A535" s="198" t="str">
        <f>IF(AND(VALUE(RIGHT(O535,2))&lt;=controle_formulario!$E$16,VALUE(RIGHT(K535,2))&lt;=controle_formulario!$C$10,H535&lt;=Criterios!$C$31+controle_formulario!$I$16-1),"SIM","NÃO")</f>
        <v>NÃO</v>
      </c>
      <c r="B535" s="198">
        <f t="shared" si="248"/>
        <v>0</v>
      </c>
      <c r="C535" s="198" t="str">
        <f t="shared" si="249"/>
        <v>Formrol</v>
      </c>
      <c r="D535" s="179"/>
      <c r="E535" s="198" t="str">
        <f t="shared" si="250"/>
        <v>Planilha 1</v>
      </c>
      <c r="F535" s="198" t="str">
        <f t="shared" si="251"/>
        <v>Geral</v>
      </c>
      <c r="G535" s="198" t="s">
        <v>21</v>
      </c>
      <c r="H535" s="199">
        <f t="shared" si="257"/>
        <v>2029</v>
      </c>
      <c r="I535" s="200">
        <f t="shared" ca="1" si="257"/>
        <v>36.250027878529522</v>
      </c>
      <c r="J535" s="200" t="str">
        <f>IF(controle_formulario!$C$39=1,controle_formulario!$C$37,controle_formulario!$C$38)</f>
        <v>Epidemiologico Beneficiarios Saude Suplementar</v>
      </c>
      <c r="K535" s="197" t="s">
        <v>170</v>
      </c>
      <c r="L535" s="197">
        <f t="shared" si="256"/>
        <v>0</v>
      </c>
      <c r="M535" s="201">
        <f t="shared" si="259"/>
        <v>0</v>
      </c>
      <c r="N535" s="201">
        <f t="shared" si="259"/>
        <v>0</v>
      </c>
      <c r="O535" s="197" t="s">
        <v>181</v>
      </c>
      <c r="P535" s="197" t="str">
        <f t="shared" si="260"/>
        <v>Taxa de difusão em X anos: XX%</v>
      </c>
      <c r="Q535" s="202">
        <f>'Market Share'!G91</f>
        <v>0</v>
      </c>
      <c r="R535" s="203">
        <f t="shared" ca="1" si="258"/>
        <v>0</v>
      </c>
      <c r="S535" s="204">
        <f t="shared" ca="1" si="258"/>
        <v>-4150388.9087994657</v>
      </c>
    </row>
    <row r="536" spans="1:19" x14ac:dyDescent="0.3">
      <c r="A536" s="198" t="str">
        <f>IF(AND(VALUE(RIGHT(O536,2))&lt;=controle_formulario!$E$16,VALUE(RIGHT(K536,2))&lt;=controle_formulario!$C$10,H536&lt;=Criterios!$C$31+controle_formulario!$I$16-1),"SIM","NÃO")</f>
        <v>NÃO</v>
      </c>
      <c r="B536" s="198">
        <f t="shared" si="248"/>
        <v>0</v>
      </c>
      <c r="C536" s="198" t="str">
        <f t="shared" si="249"/>
        <v>Formrol</v>
      </c>
      <c r="D536" s="179"/>
      <c r="E536" s="198" t="str">
        <f t="shared" si="250"/>
        <v>Planilha 1</v>
      </c>
      <c r="F536" s="198" t="str">
        <f t="shared" si="251"/>
        <v>Geral</v>
      </c>
      <c r="G536" s="198" t="s">
        <v>22</v>
      </c>
      <c r="H536" s="199">
        <f t="shared" si="257"/>
        <v>2030</v>
      </c>
      <c r="I536" s="200">
        <f t="shared" ca="1" si="257"/>
        <v>36.350592396534239</v>
      </c>
      <c r="J536" s="200" t="str">
        <f>IF(controle_formulario!$C$39=1,controle_formulario!$C$37,controle_formulario!$C$38)</f>
        <v>Epidemiologico Beneficiarios Saude Suplementar</v>
      </c>
      <c r="K536" s="197" t="s">
        <v>170</v>
      </c>
      <c r="L536" s="197">
        <f t="shared" si="256"/>
        <v>0</v>
      </c>
      <c r="M536" s="201">
        <f t="shared" si="259"/>
        <v>0</v>
      </c>
      <c r="N536" s="201">
        <f t="shared" si="259"/>
        <v>0</v>
      </c>
      <c r="O536" s="197" t="s">
        <v>181</v>
      </c>
      <c r="P536" s="197" t="str">
        <f t="shared" si="260"/>
        <v>Taxa de difusão em X anos: XX%</v>
      </c>
      <c r="Q536" s="202">
        <f>'Market Share'!G92</f>
        <v>0</v>
      </c>
      <c r="R536" s="203">
        <f t="shared" ca="1" si="258"/>
        <v>0</v>
      </c>
      <c r="S536" s="204">
        <f t="shared" ca="1" si="258"/>
        <v>-4161902.8822933384</v>
      </c>
    </row>
    <row r="537" spans="1:19" x14ac:dyDescent="0.3">
      <c r="A537" s="198" t="str">
        <f>IF(AND(VALUE(RIGHT(O537,2))&lt;=controle_formulario!$E$16,VALUE(RIGHT(K537,2))&lt;=controle_formulario!$C$10,H537&lt;=Criterios!$C$31+controle_formulario!$I$16-1),"SIM","NÃO")</f>
        <v>NÃO</v>
      </c>
      <c r="B537" s="198">
        <f t="shared" si="248"/>
        <v>0</v>
      </c>
      <c r="C537" s="198" t="str">
        <f t="shared" si="249"/>
        <v>Formrol</v>
      </c>
      <c r="D537" s="179"/>
      <c r="E537" s="198" t="str">
        <f t="shared" si="250"/>
        <v>Planilha 1</v>
      </c>
      <c r="F537" s="198" t="str">
        <f t="shared" si="251"/>
        <v>Geral</v>
      </c>
      <c r="G537" s="198" t="s">
        <v>23</v>
      </c>
      <c r="H537" s="199">
        <f t="shared" si="257"/>
        <v>2031</v>
      </c>
      <c r="I537" s="200">
        <f t="shared" si="257"/>
        <v>0</v>
      </c>
      <c r="J537" s="200" t="str">
        <f>IF(controle_formulario!$C$39=1,controle_formulario!$C$37,controle_formulario!$C$38)</f>
        <v>Epidemiologico Beneficiarios Saude Suplementar</v>
      </c>
      <c r="K537" s="197" t="s">
        <v>170</v>
      </c>
      <c r="L537" s="197">
        <f t="shared" si="256"/>
        <v>0</v>
      </c>
      <c r="M537" s="201">
        <f t="shared" si="259"/>
        <v>0</v>
      </c>
      <c r="N537" s="201">
        <f t="shared" si="259"/>
        <v>0</v>
      </c>
      <c r="O537" s="197" t="s">
        <v>181</v>
      </c>
      <c r="P537" s="197" t="str">
        <f t="shared" si="260"/>
        <v>Taxa de difusão em X anos: XX%</v>
      </c>
      <c r="Q537" s="202">
        <f>'Market Share'!G93</f>
        <v>0</v>
      </c>
      <c r="R537" s="203">
        <f t="shared" ca="1" si="258"/>
        <v>0</v>
      </c>
      <c r="S537" s="204">
        <f t="shared" ca="1" si="258"/>
        <v>0</v>
      </c>
    </row>
    <row r="538" spans="1:19" x14ac:dyDescent="0.3">
      <c r="A538" s="198" t="str">
        <f>IF(AND(VALUE(RIGHT(O538,2))&lt;=controle_formulario!$E$16,VALUE(RIGHT(K538,2))&lt;=controle_formulario!$C$10,H538&lt;=Criterios!$C$31+controle_formulario!$I$16-1),"SIM","NÃO")</f>
        <v>NÃO</v>
      </c>
      <c r="B538" s="198">
        <f t="shared" si="248"/>
        <v>0</v>
      </c>
      <c r="C538" s="198" t="str">
        <f t="shared" si="249"/>
        <v>Formrol</v>
      </c>
      <c r="D538" s="179"/>
      <c r="E538" s="198" t="str">
        <f t="shared" si="250"/>
        <v>Planilha 1</v>
      </c>
      <c r="F538" s="198" t="str">
        <f t="shared" si="251"/>
        <v>Geral</v>
      </c>
      <c r="G538" s="198" t="s">
        <v>24</v>
      </c>
      <c r="H538" s="199">
        <f t="shared" si="257"/>
        <v>2032</v>
      </c>
      <c r="I538" s="200">
        <f t="shared" si="257"/>
        <v>0</v>
      </c>
      <c r="J538" s="200" t="str">
        <f>IF(controle_formulario!$C$39=1,controle_formulario!$C$37,controle_formulario!$C$38)</f>
        <v>Epidemiologico Beneficiarios Saude Suplementar</v>
      </c>
      <c r="K538" s="197" t="s">
        <v>170</v>
      </c>
      <c r="L538" s="197">
        <f t="shared" si="256"/>
        <v>0</v>
      </c>
      <c r="M538" s="201">
        <f t="shared" si="259"/>
        <v>0</v>
      </c>
      <c r="N538" s="201">
        <f t="shared" si="259"/>
        <v>0</v>
      </c>
      <c r="O538" s="197" t="s">
        <v>181</v>
      </c>
      <c r="P538" s="197" t="str">
        <f t="shared" si="260"/>
        <v>Taxa de difusão em X anos: XX%</v>
      </c>
      <c r="Q538" s="202">
        <f>'Market Share'!G94</f>
        <v>0</v>
      </c>
      <c r="R538" s="203">
        <f t="shared" ca="1" si="258"/>
        <v>0</v>
      </c>
      <c r="S538" s="204">
        <f t="shared" ca="1" si="258"/>
        <v>0</v>
      </c>
    </row>
    <row r="539" spans="1:19" x14ac:dyDescent="0.3">
      <c r="A539" s="198" t="str">
        <f>IF(AND(VALUE(RIGHT(O539,2))&lt;=controle_formulario!$E$16,VALUE(RIGHT(K539,2))&lt;=controle_formulario!$C$10,H539&lt;=Criterios!$C$31+controle_formulario!$I$16-1),"SIM","NÃO")</f>
        <v>NÃO</v>
      </c>
      <c r="B539" s="198">
        <f t="shared" si="248"/>
        <v>0</v>
      </c>
      <c r="C539" s="198" t="str">
        <f t="shared" si="249"/>
        <v>Formrol</v>
      </c>
      <c r="D539" s="179"/>
      <c r="E539" s="198" t="str">
        <f t="shared" si="250"/>
        <v>Planilha 1</v>
      </c>
      <c r="F539" s="198" t="str">
        <f t="shared" si="251"/>
        <v>Geral</v>
      </c>
      <c r="G539" s="198" t="s">
        <v>25</v>
      </c>
      <c r="H539" s="199">
        <f t="shared" si="257"/>
        <v>2033</v>
      </c>
      <c r="I539" s="200">
        <f t="shared" si="257"/>
        <v>0</v>
      </c>
      <c r="J539" s="200" t="str">
        <f>IF(controle_formulario!$C$39=1,controle_formulario!$C$37,controle_formulario!$C$38)</f>
        <v>Epidemiologico Beneficiarios Saude Suplementar</v>
      </c>
      <c r="K539" s="197" t="s">
        <v>170</v>
      </c>
      <c r="L539" s="197">
        <f t="shared" si="256"/>
        <v>0</v>
      </c>
      <c r="M539" s="201">
        <f t="shared" si="259"/>
        <v>0</v>
      </c>
      <c r="N539" s="201">
        <f t="shared" si="259"/>
        <v>0</v>
      </c>
      <c r="O539" s="197" t="s">
        <v>181</v>
      </c>
      <c r="P539" s="197" t="str">
        <f t="shared" si="260"/>
        <v>Taxa de difusão em X anos: XX%</v>
      </c>
      <c r="Q539" s="202">
        <f>'Market Share'!G95</f>
        <v>0</v>
      </c>
      <c r="R539" s="203">
        <f t="shared" ca="1" si="258"/>
        <v>0</v>
      </c>
      <c r="S539" s="204">
        <f t="shared" ca="1" si="258"/>
        <v>0</v>
      </c>
    </row>
    <row r="540" spans="1:19" x14ac:dyDescent="0.3">
      <c r="A540" s="198" t="str">
        <f>IF(AND(VALUE(RIGHT(O540,2))&lt;=controle_formulario!$E$16,VALUE(RIGHT(K540,2))&lt;=controle_formulario!$C$10,H540&lt;=Criterios!$C$31+controle_formulario!$I$16-1),"SIM","NÃO")</f>
        <v>NÃO</v>
      </c>
      <c r="B540" s="198">
        <f t="shared" si="248"/>
        <v>0</v>
      </c>
      <c r="C540" s="198" t="str">
        <f t="shared" si="249"/>
        <v>Formrol</v>
      </c>
      <c r="D540" s="179"/>
      <c r="E540" s="198" t="str">
        <f t="shared" si="250"/>
        <v>Planilha 1</v>
      </c>
      <c r="F540" s="198" t="str">
        <f t="shared" si="251"/>
        <v>Geral</v>
      </c>
      <c r="G540" s="198" t="s">
        <v>26</v>
      </c>
      <c r="H540" s="199">
        <f t="shared" si="257"/>
        <v>2034</v>
      </c>
      <c r="I540" s="200">
        <f t="shared" si="257"/>
        <v>0</v>
      </c>
      <c r="J540" s="200" t="str">
        <f>IF(controle_formulario!$C$39=1,controle_formulario!$C$37,controle_formulario!$C$38)</f>
        <v>Epidemiologico Beneficiarios Saude Suplementar</v>
      </c>
      <c r="K540" s="197" t="s">
        <v>170</v>
      </c>
      <c r="L540" s="197">
        <f t="shared" si="256"/>
        <v>0</v>
      </c>
      <c r="M540" s="201">
        <f t="shared" si="259"/>
        <v>0</v>
      </c>
      <c r="N540" s="201">
        <f t="shared" si="259"/>
        <v>0</v>
      </c>
      <c r="O540" s="197" t="s">
        <v>181</v>
      </c>
      <c r="P540" s="197" t="str">
        <f t="shared" si="260"/>
        <v>Taxa de difusão em X anos: XX%</v>
      </c>
      <c r="Q540" s="202">
        <f>'Market Share'!G96</f>
        <v>0</v>
      </c>
      <c r="R540" s="203">
        <f t="shared" ca="1" si="258"/>
        <v>0</v>
      </c>
      <c r="S540" s="204">
        <f t="shared" ca="1" si="258"/>
        <v>0</v>
      </c>
    </row>
    <row r="541" spans="1:19" ht="15" thickBot="1" x14ac:dyDescent="0.35">
      <c r="A541" s="205" t="str">
        <f>IF(AND(VALUE(RIGHT(O541,2))&lt;=controle_formulario!$E$16,VALUE(RIGHT(K541,2))&lt;=controle_formulario!$C$10,H541&lt;=Criterios!$C$31+controle_formulario!$I$16-1),"SIM","NÃO")</f>
        <v>NÃO</v>
      </c>
      <c r="B541" s="205">
        <f t="shared" si="248"/>
        <v>0</v>
      </c>
      <c r="C541" s="205" t="str">
        <f t="shared" si="249"/>
        <v>Formrol</v>
      </c>
      <c r="D541" s="180"/>
      <c r="E541" s="205" t="str">
        <f t="shared" si="250"/>
        <v>Planilha 1</v>
      </c>
      <c r="F541" s="205" t="str">
        <f t="shared" si="251"/>
        <v>Geral</v>
      </c>
      <c r="G541" s="205" t="s">
        <v>27</v>
      </c>
      <c r="H541" s="212">
        <f t="shared" si="257"/>
        <v>2035</v>
      </c>
      <c r="I541" s="213">
        <f t="shared" si="257"/>
        <v>0</v>
      </c>
      <c r="J541" s="207" t="str">
        <f>IF(controle_formulario!$C$39=1,controle_formulario!$C$37,controle_formulario!$C$38)</f>
        <v>Epidemiologico Beneficiarios Saude Suplementar</v>
      </c>
      <c r="K541" s="208" t="s">
        <v>170</v>
      </c>
      <c r="L541" s="208">
        <f t="shared" si="256"/>
        <v>0</v>
      </c>
      <c r="M541" s="201">
        <f t="shared" si="259"/>
        <v>0</v>
      </c>
      <c r="N541" s="201">
        <f t="shared" si="259"/>
        <v>0</v>
      </c>
      <c r="O541" s="214" t="s">
        <v>181</v>
      </c>
      <c r="P541" s="214" t="str">
        <f t="shared" si="260"/>
        <v>Taxa de difusão em X anos: XX%</v>
      </c>
      <c r="Q541" s="215">
        <f>'Market Share'!G97</f>
        <v>0</v>
      </c>
      <c r="R541" s="216">
        <f t="shared" ca="1" si="258"/>
        <v>0</v>
      </c>
      <c r="S541" s="217">
        <f t="shared" ca="1" si="258"/>
        <v>0</v>
      </c>
    </row>
    <row r="542" spans="1:19" x14ac:dyDescent="0.3">
      <c r="A542" s="189" t="str">
        <f>IF(AND(VALUE(RIGHT(O542,2))&lt;=controle_formulario!$E$16,VALUE(RIGHT(K542,2))&lt;=controle_formulario!$C$10,H542&lt;=Criterios!$C$31+controle_formulario!$I$16-1),"SIM","NÃO")</f>
        <v>NÃO</v>
      </c>
      <c r="B542" s="189">
        <f t="shared" si="248"/>
        <v>0</v>
      </c>
      <c r="C542" s="189" t="str">
        <f t="shared" si="249"/>
        <v>Formrol</v>
      </c>
      <c r="D542" s="177"/>
      <c r="E542" s="189" t="str">
        <f t="shared" si="250"/>
        <v>Planilha 1</v>
      </c>
      <c r="F542" s="189" t="str">
        <f t="shared" si="251"/>
        <v>Geral</v>
      </c>
      <c r="G542" s="189" t="s">
        <v>18</v>
      </c>
      <c r="H542" s="190">
        <f>H532</f>
        <v>2026</v>
      </c>
      <c r="I542" s="191">
        <f ca="1">I532</f>
        <v>35.902021176061034</v>
      </c>
      <c r="J542" s="191" t="str">
        <f>IF(controle_formulario!$C$39=1,controle_formulario!$C$37,controle_formulario!$C$38)</f>
        <v>Epidemiologico Beneficiarios Saude Suplementar</v>
      </c>
      <c r="K542" s="192" t="s">
        <v>171</v>
      </c>
      <c r="L542" s="192">
        <f t="shared" ref="L542:L551" si="261">trat.d</f>
        <v>0</v>
      </c>
      <c r="M542" s="193">
        <f>Resumo!$D$42</f>
        <v>0</v>
      </c>
      <c r="N542" s="193">
        <f>Resumo!$D$51</f>
        <v>0</v>
      </c>
      <c r="O542" s="192" t="s">
        <v>181</v>
      </c>
      <c r="P542" s="192" t="str">
        <f t="shared" si="260"/>
        <v>Taxa de difusão em X anos: XX%</v>
      </c>
      <c r="Q542" s="194">
        <f>'Market Share'!H88</f>
        <v>0</v>
      </c>
      <c r="R542" s="195">
        <f ca="1">R532</f>
        <v>0</v>
      </c>
      <c r="S542" s="196">
        <f ca="1">S532</f>
        <v>-4110544.4385289042</v>
      </c>
    </row>
    <row r="543" spans="1:19" x14ac:dyDescent="0.3">
      <c r="A543" s="198" t="str">
        <f>IF(AND(VALUE(RIGHT(O543,2))&lt;=controle_formulario!$E$16,VALUE(RIGHT(K543,2))&lt;=controle_formulario!$C$10,H543&lt;=Criterios!$C$31+controle_formulario!$I$16-1),"SIM","NÃO")</f>
        <v>NÃO</v>
      </c>
      <c r="B543" s="198">
        <f t="shared" si="248"/>
        <v>0</v>
      </c>
      <c r="C543" s="198" t="str">
        <f t="shared" si="249"/>
        <v>Formrol</v>
      </c>
      <c r="D543" s="179"/>
      <c r="E543" s="198" t="str">
        <f t="shared" si="250"/>
        <v>Planilha 1</v>
      </c>
      <c r="F543" s="198" t="str">
        <f t="shared" si="251"/>
        <v>Geral</v>
      </c>
      <c r="G543" s="198" t="s">
        <v>19</v>
      </c>
      <c r="H543" s="199">
        <f t="shared" ref="H543:I551" si="262">H533</f>
        <v>2027</v>
      </c>
      <c r="I543" s="200">
        <f t="shared" ca="1" si="262"/>
        <v>36.027114594978322</v>
      </c>
      <c r="J543" s="200" t="str">
        <f>IF(controle_formulario!$C$39=1,controle_formulario!$C$37,controle_formulario!$C$38)</f>
        <v>Epidemiologico Beneficiarios Saude Suplementar</v>
      </c>
      <c r="K543" s="197" t="s">
        <v>171</v>
      </c>
      <c r="L543" s="197">
        <f t="shared" si="261"/>
        <v>0</v>
      </c>
      <c r="M543" s="201">
        <f>M542</f>
        <v>0</v>
      </c>
      <c r="N543" s="201">
        <f>N542</f>
        <v>0</v>
      </c>
      <c r="O543" s="197" t="s">
        <v>181</v>
      </c>
      <c r="P543" s="197" t="str">
        <f t="shared" si="260"/>
        <v>Taxa de difusão em X anos: XX%</v>
      </c>
      <c r="Q543" s="202">
        <f>'Market Share'!H89</f>
        <v>0</v>
      </c>
      <c r="R543" s="203">
        <f t="shared" ref="R543:S551" ca="1" si="263">R533</f>
        <v>0</v>
      </c>
      <c r="S543" s="204">
        <f t="shared" ca="1" si="263"/>
        <v>-4124866.8092641174</v>
      </c>
    </row>
    <row r="544" spans="1:19" x14ac:dyDescent="0.3">
      <c r="A544" s="198" t="str">
        <f>IF(AND(VALUE(RIGHT(O544,2))&lt;=controle_formulario!$E$16,VALUE(RIGHT(K544,2))&lt;=controle_formulario!$C$10,H544&lt;=Criterios!$C$31+controle_formulario!$I$16-1),"SIM","NÃO")</f>
        <v>NÃO</v>
      </c>
      <c r="B544" s="198">
        <f t="shared" si="248"/>
        <v>0</v>
      </c>
      <c r="C544" s="198" t="str">
        <f t="shared" si="249"/>
        <v>Formrol</v>
      </c>
      <c r="D544" s="179"/>
      <c r="E544" s="198" t="str">
        <f t="shared" si="250"/>
        <v>Planilha 1</v>
      </c>
      <c r="F544" s="198" t="str">
        <f t="shared" si="251"/>
        <v>Geral</v>
      </c>
      <c r="G544" s="198" t="s">
        <v>20</v>
      </c>
      <c r="H544" s="199">
        <f t="shared" si="262"/>
        <v>2028</v>
      </c>
      <c r="I544" s="200">
        <f t="shared" ca="1" si="262"/>
        <v>36.142742272880319</v>
      </c>
      <c r="J544" s="200" t="str">
        <f>IF(controle_formulario!$C$39=1,controle_formulario!$C$37,controle_formulario!$C$38)</f>
        <v>Epidemiologico Beneficiarios Saude Suplementar</v>
      </c>
      <c r="K544" s="197" t="s">
        <v>171</v>
      </c>
      <c r="L544" s="197">
        <f t="shared" si="261"/>
        <v>0</v>
      </c>
      <c r="M544" s="201">
        <f t="shared" ref="M544:N551" si="264">M543</f>
        <v>0</v>
      </c>
      <c r="N544" s="201">
        <f t="shared" si="264"/>
        <v>0</v>
      </c>
      <c r="O544" s="197" t="s">
        <v>181</v>
      </c>
      <c r="P544" s="197" t="str">
        <f t="shared" si="260"/>
        <v>Taxa de difusão em X anos: XX%</v>
      </c>
      <c r="Q544" s="202">
        <f>'Market Share'!H90</f>
        <v>0</v>
      </c>
      <c r="R544" s="203">
        <f t="shared" ca="1" si="263"/>
        <v>0</v>
      </c>
      <c r="S544" s="204">
        <f t="shared" ca="1" si="263"/>
        <v>-4138105.4151356164</v>
      </c>
    </row>
    <row r="545" spans="1:19" x14ac:dyDescent="0.3">
      <c r="A545" s="198" t="str">
        <f>IF(AND(VALUE(RIGHT(O545,2))&lt;=controle_formulario!$E$16,VALUE(RIGHT(K545,2))&lt;=controle_formulario!$C$10,H545&lt;=Criterios!$C$31+controle_formulario!$I$16-1),"SIM","NÃO")</f>
        <v>NÃO</v>
      </c>
      <c r="B545" s="198">
        <f t="shared" si="248"/>
        <v>0</v>
      </c>
      <c r="C545" s="198" t="str">
        <f t="shared" si="249"/>
        <v>Formrol</v>
      </c>
      <c r="D545" s="179"/>
      <c r="E545" s="198" t="str">
        <f t="shared" si="250"/>
        <v>Planilha 1</v>
      </c>
      <c r="F545" s="198" t="str">
        <f t="shared" si="251"/>
        <v>Geral</v>
      </c>
      <c r="G545" s="198" t="s">
        <v>21</v>
      </c>
      <c r="H545" s="199">
        <f t="shared" si="262"/>
        <v>2029</v>
      </c>
      <c r="I545" s="200">
        <f t="shared" ca="1" si="262"/>
        <v>36.250027878529522</v>
      </c>
      <c r="J545" s="200" t="str">
        <f>IF(controle_formulario!$C$39=1,controle_formulario!$C$37,controle_formulario!$C$38)</f>
        <v>Epidemiologico Beneficiarios Saude Suplementar</v>
      </c>
      <c r="K545" s="197" t="s">
        <v>171</v>
      </c>
      <c r="L545" s="197">
        <f t="shared" si="261"/>
        <v>0</v>
      </c>
      <c r="M545" s="201">
        <f t="shared" si="264"/>
        <v>0</v>
      </c>
      <c r="N545" s="201">
        <f t="shared" si="264"/>
        <v>0</v>
      </c>
      <c r="O545" s="197" t="s">
        <v>181</v>
      </c>
      <c r="P545" s="197" t="str">
        <f t="shared" si="260"/>
        <v>Taxa de difusão em X anos: XX%</v>
      </c>
      <c r="Q545" s="202">
        <f>'Market Share'!H91</f>
        <v>0</v>
      </c>
      <c r="R545" s="203">
        <f t="shared" ca="1" si="263"/>
        <v>0</v>
      </c>
      <c r="S545" s="204">
        <f t="shared" ca="1" si="263"/>
        <v>-4150388.9087994657</v>
      </c>
    </row>
    <row r="546" spans="1:19" x14ac:dyDescent="0.3">
      <c r="A546" s="198" t="str">
        <f>IF(AND(VALUE(RIGHT(O546,2))&lt;=controle_formulario!$E$16,VALUE(RIGHT(K546,2))&lt;=controle_formulario!$C$10,H546&lt;=Criterios!$C$31+controle_formulario!$I$16-1),"SIM","NÃO")</f>
        <v>NÃO</v>
      </c>
      <c r="B546" s="198">
        <f t="shared" si="248"/>
        <v>0</v>
      </c>
      <c r="C546" s="198" t="str">
        <f t="shared" si="249"/>
        <v>Formrol</v>
      </c>
      <c r="D546" s="179"/>
      <c r="E546" s="198" t="str">
        <f t="shared" si="250"/>
        <v>Planilha 1</v>
      </c>
      <c r="F546" s="198" t="str">
        <f t="shared" si="251"/>
        <v>Geral</v>
      </c>
      <c r="G546" s="198" t="s">
        <v>22</v>
      </c>
      <c r="H546" s="199">
        <f t="shared" si="262"/>
        <v>2030</v>
      </c>
      <c r="I546" s="200">
        <f t="shared" ca="1" si="262"/>
        <v>36.350592396534239</v>
      </c>
      <c r="J546" s="200" t="str">
        <f>IF(controle_formulario!$C$39=1,controle_formulario!$C$37,controle_formulario!$C$38)</f>
        <v>Epidemiologico Beneficiarios Saude Suplementar</v>
      </c>
      <c r="K546" s="197" t="s">
        <v>171</v>
      </c>
      <c r="L546" s="197">
        <f t="shared" si="261"/>
        <v>0</v>
      </c>
      <c r="M546" s="201">
        <f t="shared" si="264"/>
        <v>0</v>
      </c>
      <c r="N546" s="201">
        <f t="shared" si="264"/>
        <v>0</v>
      </c>
      <c r="O546" s="197" t="s">
        <v>181</v>
      </c>
      <c r="P546" s="197" t="str">
        <f t="shared" si="260"/>
        <v>Taxa de difusão em X anos: XX%</v>
      </c>
      <c r="Q546" s="202">
        <f>'Market Share'!H92</f>
        <v>0</v>
      </c>
      <c r="R546" s="203">
        <f t="shared" ca="1" si="263"/>
        <v>0</v>
      </c>
      <c r="S546" s="204">
        <f t="shared" ca="1" si="263"/>
        <v>-4161902.8822933384</v>
      </c>
    </row>
    <row r="547" spans="1:19" x14ac:dyDescent="0.3">
      <c r="A547" s="198" t="str">
        <f>IF(AND(VALUE(RIGHT(O547,2))&lt;=controle_formulario!$E$16,VALUE(RIGHT(K547,2))&lt;=controle_formulario!$C$10,H547&lt;=Criterios!$C$31+controle_formulario!$I$16-1),"SIM","NÃO")</f>
        <v>NÃO</v>
      </c>
      <c r="B547" s="198">
        <f t="shared" si="248"/>
        <v>0</v>
      </c>
      <c r="C547" s="198" t="str">
        <f t="shared" si="249"/>
        <v>Formrol</v>
      </c>
      <c r="D547" s="179"/>
      <c r="E547" s="198" t="str">
        <f t="shared" si="250"/>
        <v>Planilha 1</v>
      </c>
      <c r="F547" s="198" t="str">
        <f t="shared" si="251"/>
        <v>Geral</v>
      </c>
      <c r="G547" s="198" t="s">
        <v>23</v>
      </c>
      <c r="H547" s="199">
        <f t="shared" si="262"/>
        <v>2031</v>
      </c>
      <c r="I547" s="200">
        <f t="shared" si="262"/>
        <v>0</v>
      </c>
      <c r="J547" s="200" t="str">
        <f>IF(controle_formulario!$C$39=1,controle_formulario!$C$37,controle_formulario!$C$38)</f>
        <v>Epidemiologico Beneficiarios Saude Suplementar</v>
      </c>
      <c r="K547" s="197" t="s">
        <v>171</v>
      </c>
      <c r="L547" s="197">
        <f t="shared" si="261"/>
        <v>0</v>
      </c>
      <c r="M547" s="201">
        <f t="shared" si="264"/>
        <v>0</v>
      </c>
      <c r="N547" s="201">
        <f t="shared" si="264"/>
        <v>0</v>
      </c>
      <c r="O547" s="197" t="s">
        <v>181</v>
      </c>
      <c r="P547" s="197" t="str">
        <f t="shared" si="260"/>
        <v>Taxa de difusão em X anos: XX%</v>
      </c>
      <c r="Q547" s="202">
        <f>'Market Share'!H93</f>
        <v>0</v>
      </c>
      <c r="R547" s="203">
        <f t="shared" ca="1" si="263"/>
        <v>0</v>
      </c>
      <c r="S547" s="204">
        <f t="shared" ca="1" si="263"/>
        <v>0</v>
      </c>
    </row>
    <row r="548" spans="1:19" x14ac:dyDescent="0.3">
      <c r="A548" s="198" t="str">
        <f>IF(AND(VALUE(RIGHT(O548,2))&lt;=controle_formulario!$E$16,VALUE(RIGHT(K548,2))&lt;=controle_formulario!$C$10,H548&lt;=Criterios!$C$31+controle_formulario!$I$16-1),"SIM","NÃO")</f>
        <v>NÃO</v>
      </c>
      <c r="B548" s="198">
        <f t="shared" si="248"/>
        <v>0</v>
      </c>
      <c r="C548" s="198" t="str">
        <f t="shared" si="249"/>
        <v>Formrol</v>
      </c>
      <c r="D548" s="179"/>
      <c r="E548" s="198" t="str">
        <f t="shared" si="250"/>
        <v>Planilha 1</v>
      </c>
      <c r="F548" s="198" t="str">
        <f t="shared" si="251"/>
        <v>Geral</v>
      </c>
      <c r="G548" s="198" t="s">
        <v>24</v>
      </c>
      <c r="H548" s="199">
        <f t="shared" si="262"/>
        <v>2032</v>
      </c>
      <c r="I548" s="200">
        <f t="shared" si="262"/>
        <v>0</v>
      </c>
      <c r="J548" s="200" t="str">
        <f>IF(controle_formulario!$C$39=1,controle_formulario!$C$37,controle_formulario!$C$38)</f>
        <v>Epidemiologico Beneficiarios Saude Suplementar</v>
      </c>
      <c r="K548" s="197" t="s">
        <v>171</v>
      </c>
      <c r="L548" s="197">
        <f t="shared" si="261"/>
        <v>0</v>
      </c>
      <c r="M548" s="201">
        <f t="shared" si="264"/>
        <v>0</v>
      </c>
      <c r="N548" s="201">
        <f t="shared" si="264"/>
        <v>0</v>
      </c>
      <c r="O548" s="197" t="s">
        <v>181</v>
      </c>
      <c r="P548" s="197" t="str">
        <f t="shared" si="260"/>
        <v>Taxa de difusão em X anos: XX%</v>
      </c>
      <c r="Q548" s="202">
        <f>'Market Share'!H94</f>
        <v>0</v>
      </c>
      <c r="R548" s="203">
        <f t="shared" ca="1" si="263"/>
        <v>0</v>
      </c>
      <c r="S548" s="204">
        <f t="shared" ca="1" si="263"/>
        <v>0</v>
      </c>
    </row>
    <row r="549" spans="1:19" x14ac:dyDescent="0.3">
      <c r="A549" s="198" t="str">
        <f>IF(AND(VALUE(RIGHT(O549,2))&lt;=controle_formulario!$E$16,VALUE(RIGHT(K549,2))&lt;=controle_formulario!$C$10,H549&lt;=Criterios!$C$31+controle_formulario!$I$16-1),"SIM","NÃO")</f>
        <v>NÃO</v>
      </c>
      <c r="B549" s="198">
        <f t="shared" si="248"/>
        <v>0</v>
      </c>
      <c r="C549" s="198" t="str">
        <f t="shared" si="249"/>
        <v>Formrol</v>
      </c>
      <c r="D549" s="179"/>
      <c r="E549" s="198" t="str">
        <f t="shared" si="250"/>
        <v>Planilha 1</v>
      </c>
      <c r="F549" s="198" t="str">
        <f t="shared" si="251"/>
        <v>Geral</v>
      </c>
      <c r="G549" s="198" t="s">
        <v>25</v>
      </c>
      <c r="H549" s="199">
        <f t="shared" si="262"/>
        <v>2033</v>
      </c>
      <c r="I549" s="200">
        <f t="shared" si="262"/>
        <v>0</v>
      </c>
      <c r="J549" s="200" t="str">
        <f>IF(controle_formulario!$C$39=1,controle_formulario!$C$37,controle_formulario!$C$38)</f>
        <v>Epidemiologico Beneficiarios Saude Suplementar</v>
      </c>
      <c r="K549" s="197" t="s">
        <v>171</v>
      </c>
      <c r="L549" s="197">
        <f t="shared" si="261"/>
        <v>0</v>
      </c>
      <c r="M549" s="201">
        <f t="shared" si="264"/>
        <v>0</v>
      </c>
      <c r="N549" s="201">
        <f t="shared" si="264"/>
        <v>0</v>
      </c>
      <c r="O549" s="197" t="s">
        <v>181</v>
      </c>
      <c r="P549" s="197" t="str">
        <f t="shared" si="260"/>
        <v>Taxa de difusão em X anos: XX%</v>
      </c>
      <c r="Q549" s="202">
        <f>'Market Share'!H95</f>
        <v>0</v>
      </c>
      <c r="R549" s="203">
        <f t="shared" ca="1" si="263"/>
        <v>0</v>
      </c>
      <c r="S549" s="204">
        <f t="shared" ca="1" si="263"/>
        <v>0</v>
      </c>
    </row>
    <row r="550" spans="1:19" x14ac:dyDescent="0.3">
      <c r="A550" s="198" t="str">
        <f>IF(AND(VALUE(RIGHT(O550,2))&lt;=controle_formulario!$E$16,VALUE(RIGHT(K550,2))&lt;=controle_formulario!$C$10,H550&lt;=Criterios!$C$31+controle_formulario!$I$16-1),"SIM","NÃO")</f>
        <v>NÃO</v>
      </c>
      <c r="B550" s="198">
        <f t="shared" si="248"/>
        <v>0</v>
      </c>
      <c r="C550" s="198" t="str">
        <f t="shared" si="249"/>
        <v>Formrol</v>
      </c>
      <c r="D550" s="179"/>
      <c r="E550" s="198" t="str">
        <f t="shared" si="250"/>
        <v>Planilha 1</v>
      </c>
      <c r="F550" s="198" t="str">
        <f t="shared" si="251"/>
        <v>Geral</v>
      </c>
      <c r="G550" s="198" t="s">
        <v>26</v>
      </c>
      <c r="H550" s="199">
        <f t="shared" si="262"/>
        <v>2034</v>
      </c>
      <c r="I550" s="200">
        <f t="shared" si="262"/>
        <v>0</v>
      </c>
      <c r="J550" s="200" t="str">
        <f>IF(controle_formulario!$C$39=1,controle_formulario!$C$37,controle_formulario!$C$38)</f>
        <v>Epidemiologico Beneficiarios Saude Suplementar</v>
      </c>
      <c r="K550" s="197" t="s">
        <v>171</v>
      </c>
      <c r="L550" s="197">
        <f t="shared" si="261"/>
        <v>0</v>
      </c>
      <c r="M550" s="201">
        <f t="shared" si="264"/>
        <v>0</v>
      </c>
      <c r="N550" s="201">
        <f t="shared" si="264"/>
        <v>0</v>
      </c>
      <c r="O550" s="197" t="s">
        <v>181</v>
      </c>
      <c r="P550" s="197" t="str">
        <f t="shared" si="260"/>
        <v>Taxa de difusão em X anos: XX%</v>
      </c>
      <c r="Q550" s="202">
        <f>'Market Share'!H96</f>
        <v>0</v>
      </c>
      <c r="R550" s="203">
        <f t="shared" ca="1" si="263"/>
        <v>0</v>
      </c>
      <c r="S550" s="204">
        <f t="shared" ca="1" si="263"/>
        <v>0</v>
      </c>
    </row>
    <row r="551" spans="1:19" ht="15" thickBot="1" x14ac:dyDescent="0.35">
      <c r="A551" s="218" t="str">
        <f>IF(AND(VALUE(RIGHT(O551,2))&lt;=controle_formulario!$E$16,VALUE(RIGHT(K551,2))&lt;=controle_formulario!$C$10,H551&lt;=Criterios!$C$31+controle_formulario!$I$16-1),"SIM","NÃO")</f>
        <v>NÃO</v>
      </c>
      <c r="B551" s="218">
        <f t="shared" si="248"/>
        <v>0</v>
      </c>
      <c r="C551" s="218" t="str">
        <f t="shared" si="249"/>
        <v>Formrol</v>
      </c>
      <c r="D551" s="181"/>
      <c r="E551" s="218" t="str">
        <f t="shared" si="250"/>
        <v>Planilha 1</v>
      </c>
      <c r="F551" s="218" t="str">
        <f t="shared" si="251"/>
        <v>Geral</v>
      </c>
      <c r="G551" s="218" t="s">
        <v>27</v>
      </c>
      <c r="H551" s="212">
        <f t="shared" si="262"/>
        <v>2035</v>
      </c>
      <c r="I551" s="213">
        <f t="shared" si="262"/>
        <v>0</v>
      </c>
      <c r="J551" s="213" t="str">
        <f>IF(controle_formulario!$C$39=1,controle_formulario!$C$37,controle_formulario!$C$38)</f>
        <v>Epidemiologico Beneficiarios Saude Suplementar</v>
      </c>
      <c r="K551" s="214" t="s">
        <v>171</v>
      </c>
      <c r="L551" s="214">
        <f t="shared" si="261"/>
        <v>0</v>
      </c>
      <c r="M551" s="201">
        <f t="shared" si="264"/>
        <v>0</v>
      </c>
      <c r="N551" s="201">
        <f t="shared" si="264"/>
        <v>0</v>
      </c>
      <c r="O551" s="214" t="s">
        <v>181</v>
      </c>
      <c r="P551" s="214" t="str">
        <f t="shared" si="260"/>
        <v>Taxa de difusão em X anos: XX%</v>
      </c>
      <c r="Q551" s="215">
        <f>'Market Share'!H97</f>
        <v>0</v>
      </c>
      <c r="R551" s="216">
        <f t="shared" ca="1" si="263"/>
        <v>0</v>
      </c>
      <c r="S551" s="217">
        <f t="shared" ca="1" si="263"/>
        <v>0</v>
      </c>
    </row>
  </sheetData>
  <pageMargins left="0.511811024" right="0.511811024" top="0.78740157499999996" bottom="0.78740157499999996" header="0.31496062000000002" footer="0.31496062000000002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0598A-CE1C-407C-BC97-BE829020E389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3"/>
  <dimension ref="B3:AG33"/>
  <sheetViews>
    <sheetView showGridLines="0" zoomScale="90" zoomScaleNormal="90" workbookViewId="0">
      <selection activeCell="A10" sqref="A10:XFD12"/>
    </sheetView>
  </sheetViews>
  <sheetFormatPr defaultColWidth="8.88671875" defaultRowHeight="14.4" x14ac:dyDescent="0.3"/>
  <cols>
    <col min="2" max="2" width="46.6640625" customWidth="1"/>
    <col min="3" max="3" width="71" customWidth="1"/>
    <col min="4" max="4" width="10.44140625" bestFit="1" customWidth="1"/>
    <col min="5" max="7" width="14.109375" customWidth="1"/>
    <col min="32" max="32" width="4.88671875" customWidth="1"/>
  </cols>
  <sheetData>
    <row r="3" spans="2:33" x14ac:dyDescent="0.3">
      <c r="B3" s="43"/>
      <c r="C3" s="41" t="s">
        <v>67</v>
      </c>
    </row>
    <row r="5" spans="2:33" x14ac:dyDescent="0.3">
      <c r="B5" s="1" t="s">
        <v>43</v>
      </c>
      <c r="C5" s="45" t="s">
        <v>185</v>
      </c>
    </row>
    <row r="7" spans="2:33" ht="15" customHeight="1" x14ac:dyDescent="0.3">
      <c r="B7" s="1" t="s">
        <v>36</v>
      </c>
      <c r="E7" s="293" t="s">
        <v>124</v>
      </c>
      <c r="F7" s="294"/>
      <c r="G7" s="294"/>
      <c r="H7" s="153"/>
      <c r="I7" s="154"/>
      <c r="J7" s="154"/>
      <c r="K7" s="154"/>
    </row>
    <row r="8" spans="2:33" ht="18.600000000000001" customHeight="1" x14ac:dyDescent="0.3">
      <c r="B8" t="s">
        <v>58</v>
      </c>
      <c r="E8" s="295"/>
      <c r="F8" s="296"/>
      <c r="G8" s="297"/>
      <c r="H8" s="155"/>
      <c r="I8" s="154"/>
      <c r="J8" s="154"/>
      <c r="K8" s="154"/>
    </row>
    <row r="9" spans="2:33" ht="13.8" customHeight="1" x14ac:dyDescent="0.3">
      <c r="B9" t="s">
        <v>90</v>
      </c>
      <c r="C9" s="45" t="s">
        <v>195</v>
      </c>
      <c r="E9" s="298"/>
      <c r="F9" s="299"/>
      <c r="G9" s="300"/>
      <c r="H9" s="155"/>
      <c r="I9" s="154"/>
      <c r="J9" s="154"/>
      <c r="K9" s="154"/>
      <c r="AF9" s="109">
        <v>1</v>
      </c>
      <c r="AG9" s="109" t="str">
        <f>IF(AF9 &gt; controle_formulario!$C$10,"Ocultar","")</f>
        <v/>
      </c>
    </row>
    <row r="10" spans="2:33" ht="17.399999999999999" hidden="1" customHeight="1" x14ac:dyDescent="0.3">
      <c r="B10" t="s">
        <v>91</v>
      </c>
      <c r="C10" s="45"/>
      <c r="E10" s="154"/>
      <c r="F10" s="154"/>
      <c r="G10" s="154"/>
      <c r="H10" s="154"/>
      <c r="I10" s="154"/>
      <c r="J10" s="154"/>
      <c r="K10" s="154"/>
      <c r="AF10" s="109">
        <v>2</v>
      </c>
      <c r="AG10" s="109" t="str">
        <f>IF(AF10 &gt; controle_formulario!$C$10,"Ocultar","")</f>
        <v>Ocultar</v>
      </c>
    </row>
    <row r="11" spans="2:33" ht="13.8" hidden="1" customHeight="1" x14ac:dyDescent="0.3">
      <c r="B11" t="s">
        <v>92</v>
      </c>
      <c r="C11" s="45"/>
      <c r="E11" s="154"/>
      <c r="F11" s="154"/>
      <c r="G11" s="154"/>
      <c r="H11" s="154"/>
      <c r="I11" s="154"/>
      <c r="J11" s="154"/>
      <c r="K11" s="154"/>
      <c r="AF11" s="109">
        <v>3</v>
      </c>
      <c r="AG11" s="109" t="str">
        <f>IF(AF11 &gt; controle_formulario!$C$10,"Ocultar","")</f>
        <v>Ocultar</v>
      </c>
    </row>
    <row r="12" spans="2:33" ht="14.4" hidden="1" customHeight="1" x14ac:dyDescent="0.3">
      <c r="B12" t="s">
        <v>93</v>
      </c>
      <c r="C12" s="45"/>
      <c r="E12" s="154"/>
      <c r="F12" s="154"/>
      <c r="G12" s="154"/>
      <c r="H12" s="154"/>
      <c r="I12" s="154"/>
      <c r="J12" s="154"/>
      <c r="K12" s="154"/>
      <c r="AF12" s="109">
        <v>4</v>
      </c>
      <c r="AG12" s="109" t="str">
        <f>IF(AF12 &gt; controle_formulario!$C$10,"Ocultar","")</f>
        <v>Ocultar</v>
      </c>
    </row>
    <row r="13" spans="2:33" x14ac:dyDescent="0.3">
      <c r="E13" s="154"/>
      <c r="F13" s="154"/>
      <c r="G13" s="154"/>
      <c r="H13" s="154"/>
      <c r="I13" s="154"/>
      <c r="J13" s="154"/>
      <c r="K13" s="154"/>
    </row>
    <row r="15" spans="2:33" ht="15" customHeight="1" x14ac:dyDescent="0.3">
      <c r="B15" s="139" t="s">
        <v>54</v>
      </c>
      <c r="C15" s="45" t="s">
        <v>186</v>
      </c>
      <c r="E15" s="293" t="s">
        <v>126</v>
      </c>
      <c r="F15" s="294"/>
      <c r="G15" s="294"/>
      <c r="H15" s="156"/>
    </row>
    <row r="16" spans="2:33" x14ac:dyDescent="0.3">
      <c r="E16" s="295"/>
      <c r="F16" s="296"/>
      <c r="G16" s="296"/>
      <c r="H16" s="156"/>
    </row>
    <row r="17" spans="2:33" x14ac:dyDescent="0.3">
      <c r="B17" s="139" t="s">
        <v>55</v>
      </c>
      <c r="E17" s="295"/>
      <c r="F17" s="296"/>
      <c r="G17" s="296"/>
      <c r="H17" s="156"/>
    </row>
    <row r="18" spans="2:33" x14ac:dyDescent="0.3">
      <c r="B18" t="s">
        <v>46</v>
      </c>
      <c r="E18" s="295"/>
      <c r="F18" s="296"/>
      <c r="G18" s="296"/>
      <c r="H18" s="156"/>
    </row>
    <row r="19" spans="2:33" ht="15" customHeight="1" x14ac:dyDescent="0.3">
      <c r="B19" t="s">
        <v>47</v>
      </c>
      <c r="C19" s="220" t="s">
        <v>187</v>
      </c>
      <c r="E19" s="298"/>
      <c r="F19" s="299"/>
      <c r="G19" s="299"/>
      <c r="H19" s="156"/>
      <c r="AF19" s="109">
        <v>1</v>
      </c>
      <c r="AG19" s="109" t="str">
        <f>IF(AF19 &gt; controle_formulario!$E$16,"Ocultar","")</f>
        <v/>
      </c>
    </row>
    <row r="20" spans="2:33" ht="15" customHeight="1" x14ac:dyDescent="0.3">
      <c r="B20" t="s">
        <v>48</v>
      </c>
      <c r="C20" s="220"/>
      <c r="AF20" s="109">
        <v>2</v>
      </c>
      <c r="AG20" s="109" t="str">
        <f>IF(AF20 &gt; controle_formulario!$E$16,"Ocultar","")</f>
        <v>Ocultar</v>
      </c>
    </row>
    <row r="21" spans="2:33" ht="15" hidden="1" customHeight="1" x14ac:dyDescent="0.3">
      <c r="B21" t="s">
        <v>49</v>
      </c>
      <c r="C21" s="45" t="s">
        <v>127</v>
      </c>
      <c r="AF21" s="109">
        <v>3</v>
      </c>
      <c r="AG21" s="109" t="str">
        <f>IF(AF21 &gt; controle_formulario!$E$16,"Ocultar","")</f>
        <v>Ocultar</v>
      </c>
    </row>
    <row r="22" spans="2:33" hidden="1" x14ac:dyDescent="0.3">
      <c r="B22" t="s">
        <v>72</v>
      </c>
      <c r="C22" s="45" t="s">
        <v>127</v>
      </c>
      <c r="AF22" s="109">
        <v>4</v>
      </c>
      <c r="AG22" s="109" t="str">
        <f>IF(AF22 &gt; controle_formulario!$E$16,"Ocultar","")</f>
        <v>Ocultar</v>
      </c>
    </row>
    <row r="23" spans="2:33" hidden="1" x14ac:dyDescent="0.3">
      <c r="B23" t="s">
        <v>73</v>
      </c>
      <c r="C23" s="45" t="s">
        <v>127</v>
      </c>
      <c r="AF23" s="109">
        <v>5</v>
      </c>
      <c r="AG23" s="109" t="str">
        <f>IF(AF23 &gt; controle_formulario!$E$16,"Ocultar","")</f>
        <v>Ocultar</v>
      </c>
    </row>
    <row r="24" spans="2:33" hidden="1" x14ac:dyDescent="0.3">
      <c r="B24" t="s">
        <v>74</v>
      </c>
      <c r="C24" s="45" t="s">
        <v>127</v>
      </c>
      <c r="AF24" s="109">
        <v>6</v>
      </c>
      <c r="AG24" s="109" t="str">
        <f>IF(AF24 &gt; controle_formulario!$E$16,"Ocultar","")</f>
        <v>Ocultar</v>
      </c>
    </row>
    <row r="25" spans="2:33" hidden="1" x14ac:dyDescent="0.3">
      <c r="B25" t="s">
        <v>75</v>
      </c>
      <c r="C25" s="45" t="s">
        <v>127</v>
      </c>
      <c r="AF25" s="109">
        <v>7</v>
      </c>
      <c r="AG25" s="109" t="str">
        <f>IF(AF25 &gt; controle_formulario!$E$16,"Ocultar","")</f>
        <v>Ocultar</v>
      </c>
    </row>
    <row r="26" spans="2:33" hidden="1" x14ac:dyDescent="0.3">
      <c r="B26" t="s">
        <v>76</v>
      </c>
      <c r="C26" s="45" t="s">
        <v>127</v>
      </c>
      <c r="AF26" s="109">
        <v>8</v>
      </c>
      <c r="AG26" s="109" t="str">
        <f>IF(AF26 &gt; controle_formulario!$E$16,"Ocultar","")</f>
        <v>Ocultar</v>
      </c>
    </row>
    <row r="27" spans="2:33" hidden="1" x14ac:dyDescent="0.3">
      <c r="B27" t="s">
        <v>77</v>
      </c>
      <c r="C27" s="45" t="s">
        <v>127</v>
      </c>
      <c r="AF27" s="109">
        <v>9</v>
      </c>
      <c r="AG27" s="109" t="str">
        <f>IF(AF27 &gt; controle_formulario!$E$16,"Ocultar","")</f>
        <v>Ocultar</v>
      </c>
    </row>
    <row r="28" spans="2:33" hidden="1" x14ac:dyDescent="0.3">
      <c r="B28" t="s">
        <v>78</v>
      </c>
      <c r="C28" s="45" t="s">
        <v>127</v>
      </c>
      <c r="AF28" s="109">
        <v>10</v>
      </c>
      <c r="AG28" s="109" t="str">
        <f>IF(AF28 &gt; controle_formulario!$E$16,"Ocultar","")</f>
        <v>Ocultar</v>
      </c>
    </row>
    <row r="30" spans="2:33" x14ac:dyDescent="0.3">
      <c r="B30" s="1" t="s">
        <v>56</v>
      </c>
    </row>
    <row r="31" spans="2:33" x14ac:dyDescent="0.3">
      <c r="B31" t="s">
        <v>4</v>
      </c>
      <c r="C31" s="104">
        <v>2026</v>
      </c>
    </row>
    <row r="32" spans="2:33" x14ac:dyDescent="0.3">
      <c r="B32" t="s">
        <v>0</v>
      </c>
    </row>
    <row r="33" spans="2:3" ht="27" customHeight="1" x14ac:dyDescent="0.3">
      <c r="B33" s="8"/>
      <c r="C33" s="8"/>
    </row>
  </sheetData>
  <dataConsolidate/>
  <mergeCells count="2">
    <mergeCell ref="E7:G9"/>
    <mergeCell ref="E15:G19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horizonte_temporal">
              <controlPr defaultSize="0" autoLine="0" autoPict="0" macro="[0]!ocultar_celulas">
                <anchor moveWithCells="1">
                  <from>
                    <xdr:col>2</xdr:col>
                    <xdr:colOff>0</xdr:colOff>
                    <xdr:row>31</xdr:row>
                    <xdr:rowOff>30480</xdr:rowOff>
                  </from>
                  <to>
                    <xdr:col>2</xdr:col>
                    <xdr:colOff>1394460</xdr:colOff>
                    <xdr:row>32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qtd_tecnologias">
              <controlPr defaultSize="0" autoLine="0" autoPict="0" macro="[0]!ocultar_celulas">
                <anchor moveWithCells="1">
                  <from>
                    <xdr:col>2</xdr:col>
                    <xdr:colOff>0</xdr:colOff>
                    <xdr:row>6</xdr:row>
                    <xdr:rowOff>152400</xdr:rowOff>
                  </from>
                  <to>
                    <xdr:col>2</xdr:col>
                    <xdr:colOff>1394460</xdr:colOff>
                    <xdr:row>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qtd_cenarios">
              <controlPr defaultSize="0" autoLine="0" autoPict="0" macro="[0]!ocultar_celulas">
                <anchor moveWithCells="1">
                  <from>
                    <xdr:col>2</xdr:col>
                    <xdr:colOff>0</xdr:colOff>
                    <xdr:row>16</xdr:row>
                    <xdr:rowOff>152400</xdr:rowOff>
                  </from>
                  <to>
                    <xdr:col>2</xdr:col>
                    <xdr:colOff>1394460</xdr:colOff>
                    <xdr:row>17</xdr:row>
                    <xdr:rowOff>160020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>
    <pageSetUpPr autoPageBreaks="0"/>
  </sheetPr>
  <dimension ref="B1:AS200"/>
  <sheetViews>
    <sheetView showGridLines="0" topLeftCell="A10" zoomScaleNormal="100" workbookViewId="0">
      <selection activeCell="D3" sqref="D3"/>
    </sheetView>
  </sheetViews>
  <sheetFormatPr defaultColWidth="8.88671875" defaultRowHeight="14.4" x14ac:dyDescent="0.3"/>
  <cols>
    <col min="1" max="1" width="3" customWidth="1"/>
    <col min="2" max="2" width="4.109375" customWidth="1"/>
    <col min="3" max="5" width="16.5546875" customWidth="1"/>
    <col min="6" max="6" width="6.6640625" customWidth="1"/>
    <col min="7" max="7" width="15.33203125" bestFit="1" customWidth="1"/>
    <col min="8" max="8" width="1.88671875" customWidth="1"/>
    <col min="9" max="9" width="14" customWidth="1"/>
    <col min="10" max="10" width="1.6640625" customWidth="1"/>
    <col min="11" max="11" width="14" customWidth="1"/>
    <col min="12" max="12" width="1.6640625" hidden="1" customWidth="1"/>
    <col min="13" max="13" width="14" hidden="1" customWidth="1"/>
    <col min="14" max="14" width="1.109375" customWidth="1"/>
    <col min="15" max="15" width="14" hidden="1" customWidth="1"/>
    <col min="16" max="16" width="1.109375" customWidth="1"/>
    <col min="17" max="17" width="14" hidden="1" customWidth="1"/>
    <col min="18" max="18" width="1" hidden="1" customWidth="1"/>
    <col min="19" max="19" width="14" hidden="1" customWidth="1"/>
    <col min="20" max="20" width="1" customWidth="1"/>
    <col min="21" max="21" width="14" hidden="1" customWidth="1"/>
    <col min="22" max="22" width="0.88671875" customWidth="1"/>
    <col min="23" max="23" width="14" hidden="1" customWidth="1"/>
    <col min="24" max="24" width="0.88671875" customWidth="1"/>
    <col min="25" max="25" width="14" hidden="1" customWidth="1"/>
    <col min="26" max="26" width="1" customWidth="1"/>
    <col min="27" max="27" width="14" customWidth="1"/>
    <col min="28" max="28" width="4.109375" customWidth="1"/>
    <col min="29" max="33" width="13.6640625" customWidth="1"/>
    <col min="34" max="36" width="13.6640625" hidden="1" customWidth="1"/>
    <col min="37" max="38" width="12.33203125" hidden="1" customWidth="1"/>
    <col min="39" max="40" width="10.44140625" customWidth="1"/>
    <col min="41" max="41" width="10.44140625" style="140" customWidth="1"/>
    <col min="42" max="43" width="10.44140625" customWidth="1"/>
  </cols>
  <sheetData>
    <row r="1" spans="2:45" ht="42" customHeight="1" x14ac:dyDescent="0.3"/>
    <row r="2" spans="2:45" ht="15.6" x14ac:dyDescent="0.3">
      <c r="C2" s="18" t="s">
        <v>70</v>
      </c>
      <c r="G2" s="316" t="s">
        <v>115</v>
      </c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8"/>
    </row>
    <row r="3" spans="2:45" ht="15" customHeight="1" x14ac:dyDescent="0.3">
      <c r="G3" s="319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1"/>
    </row>
    <row r="4" spans="2:45" x14ac:dyDescent="0.3"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</row>
    <row r="5" spans="2:45" ht="15" customHeight="1" x14ac:dyDescent="0.3">
      <c r="G5" s="316" t="s">
        <v>125</v>
      </c>
      <c r="H5" s="317"/>
      <c r="I5" s="317"/>
      <c r="J5" s="317"/>
      <c r="K5" s="317"/>
      <c r="L5" s="317"/>
      <c r="M5" s="317"/>
      <c r="N5" s="317"/>
      <c r="O5" s="317"/>
      <c r="P5" s="317"/>
      <c r="Q5" s="317"/>
      <c r="R5" s="317"/>
      <c r="S5" s="317"/>
      <c r="T5" s="317"/>
      <c r="U5" s="317"/>
      <c r="V5" s="317"/>
      <c r="W5" s="318"/>
    </row>
    <row r="6" spans="2:45" x14ac:dyDescent="0.3">
      <c r="G6" s="319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1"/>
    </row>
    <row r="7" spans="2:45" x14ac:dyDescent="0.3">
      <c r="B7" s="2"/>
      <c r="C7" s="3"/>
      <c r="D7" s="3"/>
      <c r="E7" s="3"/>
      <c r="F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4"/>
      <c r="AO7" s="140" t="str">
        <f>IF(controle_formulario!$C$39=2,"Ocultar","")</f>
        <v/>
      </c>
      <c r="AQ7" s="109"/>
    </row>
    <row r="8" spans="2:45" ht="15.6" x14ac:dyDescent="0.3">
      <c r="B8" s="5"/>
      <c r="C8" s="322" t="s">
        <v>68</v>
      </c>
      <c r="D8" s="322"/>
      <c r="E8" s="322"/>
      <c r="F8" s="322"/>
      <c r="G8" s="322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6"/>
      <c r="AO8" s="140" t="str">
        <f>IF(controle_formulario!$C$39=2,"Ocultar","")</f>
        <v/>
      </c>
      <c r="AQ8" s="109"/>
    </row>
    <row r="9" spans="2:45" ht="15.6" x14ac:dyDescent="0.3">
      <c r="B9" s="5"/>
      <c r="C9" s="21"/>
      <c r="AM9" s="6"/>
      <c r="AO9" s="140" t="str">
        <f>IF(controle_formulario!$C$39=2,"Ocultar","")</f>
        <v/>
      </c>
      <c r="AQ9" s="109"/>
    </row>
    <row r="10" spans="2:45" x14ac:dyDescent="0.3">
      <c r="B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37"/>
      <c r="AD10" s="23"/>
      <c r="AE10" s="23"/>
      <c r="AF10" s="23"/>
      <c r="AG10" s="23"/>
      <c r="AH10" s="23"/>
      <c r="AI10" s="23"/>
      <c r="AJ10" s="23"/>
      <c r="AK10" s="23"/>
      <c r="AL10" s="23"/>
      <c r="AM10" s="6"/>
      <c r="AO10" s="140" t="str">
        <f>IF(controle_formulario!$C$39=2,"Ocultar","")</f>
        <v/>
      </c>
      <c r="AQ10" s="109"/>
    </row>
    <row r="11" spans="2:45" ht="6.75" customHeight="1" x14ac:dyDescent="0.3">
      <c r="B11" s="5"/>
      <c r="C11" s="1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M11" s="6"/>
      <c r="AO11" s="140" t="str">
        <f>IF(controle_formulario!$C$39=2,"Ocultar","")</f>
        <v/>
      </c>
      <c r="AQ11" s="109"/>
    </row>
    <row r="12" spans="2:45" ht="15" customHeight="1" x14ac:dyDescent="0.3">
      <c r="B12" s="5"/>
      <c r="C12" t="s">
        <v>1</v>
      </c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M12" s="6"/>
      <c r="AO12" s="140" t="str">
        <f>IF(controle_formulario!$C$39=2,"Ocultar","")</f>
        <v/>
      </c>
      <c r="AQ12" s="109"/>
    </row>
    <row r="13" spans="2:45" ht="15" customHeight="1" x14ac:dyDescent="0.3">
      <c r="B13" s="5"/>
      <c r="G13" s="302" t="s">
        <v>57</v>
      </c>
      <c r="H13" s="302"/>
      <c r="I13" s="302"/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302"/>
      <c r="W13" s="302"/>
      <c r="X13" s="302"/>
      <c r="Y13" s="302"/>
      <c r="AC13" s="26" t="s">
        <v>7</v>
      </c>
      <c r="AD13" s="26" t="s">
        <v>8</v>
      </c>
      <c r="AE13" s="26" t="s">
        <v>9</v>
      </c>
      <c r="AF13" s="26" t="s">
        <v>10</v>
      </c>
      <c r="AG13" s="26" t="s">
        <v>11</v>
      </c>
      <c r="AH13" s="26" t="s">
        <v>12</v>
      </c>
      <c r="AI13" s="26" t="s">
        <v>13</v>
      </c>
      <c r="AJ13" s="26" t="s">
        <v>14</v>
      </c>
      <c r="AK13" s="26" t="s">
        <v>15</v>
      </c>
      <c r="AL13" s="26" t="s">
        <v>16</v>
      </c>
      <c r="AM13" s="6"/>
      <c r="AO13" s="140" t="str">
        <f>IF(controle_formulario!$C$39=2,"Ocultar","")</f>
        <v/>
      </c>
      <c r="AQ13" s="109"/>
    </row>
    <row r="14" spans="2:45" ht="100.8" x14ac:dyDescent="0.3">
      <c r="B14" s="5"/>
      <c r="C14" s="306" t="s">
        <v>38</v>
      </c>
      <c r="D14" s="306"/>
      <c r="E14" s="306"/>
      <c r="F14" s="11"/>
      <c r="G14" s="138" t="s">
        <v>188</v>
      </c>
      <c r="H14" s="11"/>
      <c r="I14" s="236" t="s">
        <v>189</v>
      </c>
      <c r="J14" s="11"/>
      <c r="K14" s="138" t="s">
        <v>190</v>
      </c>
      <c r="L14" s="106"/>
      <c r="M14" s="138"/>
      <c r="N14" s="106"/>
      <c r="O14" s="138"/>
      <c r="P14" s="11"/>
      <c r="Q14" s="138"/>
      <c r="R14" s="11"/>
      <c r="S14" s="138"/>
      <c r="T14" s="11"/>
      <c r="U14" s="138"/>
      <c r="V14" s="11"/>
      <c r="W14" s="138" t="s">
        <v>113</v>
      </c>
      <c r="X14" s="11"/>
      <c r="Y14" s="138" t="s">
        <v>114</v>
      </c>
      <c r="Z14" s="11"/>
      <c r="AA14" s="142"/>
      <c r="AB14" s="11"/>
      <c r="AC14" s="24">
        <f>Criterios!$C$31</f>
        <v>2026</v>
      </c>
      <c r="AD14" s="24">
        <f t="shared" ref="AD14:AL14" si="0">AC14+1</f>
        <v>2027</v>
      </c>
      <c r="AE14" s="24">
        <f t="shared" si="0"/>
        <v>2028</v>
      </c>
      <c r="AF14" s="24">
        <f t="shared" si="0"/>
        <v>2029</v>
      </c>
      <c r="AG14" s="24">
        <f t="shared" si="0"/>
        <v>2030</v>
      </c>
      <c r="AH14" s="24">
        <f t="shared" si="0"/>
        <v>2031</v>
      </c>
      <c r="AI14" s="24">
        <f t="shared" si="0"/>
        <v>2032</v>
      </c>
      <c r="AJ14" s="24">
        <f t="shared" si="0"/>
        <v>2033</v>
      </c>
      <c r="AK14" s="24">
        <f t="shared" si="0"/>
        <v>2034</v>
      </c>
      <c r="AL14" s="24">
        <f t="shared" si="0"/>
        <v>2035</v>
      </c>
      <c r="AM14" s="6"/>
      <c r="AO14" s="140" t="str">
        <f>IF(controle_formulario!$C$39=2,"Ocultar","")</f>
        <v/>
      </c>
      <c r="AQ14" s="109"/>
    </row>
    <row r="15" spans="2:45" ht="25.8" customHeight="1" x14ac:dyDescent="0.3">
      <c r="B15" s="5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6"/>
      <c r="AO15" s="140" t="str">
        <f>IF(controle_formulario!$C$39=2,"Ocultar","")</f>
        <v/>
      </c>
      <c r="AQ15" s="109"/>
    </row>
    <row r="16" spans="2:45" x14ac:dyDescent="0.3">
      <c r="B16" s="5"/>
      <c r="C16" s="44">
        <v>0</v>
      </c>
      <c r="D16" s="42" t="s">
        <v>39</v>
      </c>
      <c r="E16" s="44">
        <v>99</v>
      </c>
      <c r="F16" s="42"/>
      <c r="G16" s="237">
        <v>5.5699999999999999E-5</v>
      </c>
      <c r="H16" s="42"/>
      <c r="I16" s="238">
        <v>4.3999999999999997E-2</v>
      </c>
      <c r="J16" s="42"/>
      <c r="K16" s="46">
        <v>0.28460000000000002</v>
      </c>
      <c r="L16" s="42"/>
      <c r="M16" s="46"/>
      <c r="N16" s="42"/>
      <c r="O16" s="46"/>
      <c r="P16" s="11"/>
      <c r="Q16" s="46"/>
      <c r="R16" s="11"/>
      <c r="S16" s="46"/>
      <c r="T16" s="11"/>
      <c r="U16" s="46"/>
      <c r="V16" s="11"/>
      <c r="W16" s="46"/>
      <c r="X16" s="11"/>
      <c r="Y16" s="46"/>
      <c r="Z16" s="11"/>
      <c r="AA16" s="143"/>
      <c r="AB16" s="25"/>
      <c r="AC16" s="94">
        <f ca="1">IF($I16&gt;0,$I16,1)*IF($O16&gt;0,$O16,1)*IF($M16&gt;0,$M16,1)*IF($K16&gt;0,$K16,1)*IF($Q16&gt;0,$Q16,1)*IF($S16&gt;0,$S16,1)*IF($U16&gt;0,$U16,1)*IF($W16&gt;0,$W16,1)*IF($Y16&gt;0,$Y16,1)*(SUMIFS(OFFSET(pop_saúde_suplementar!$C$2:$C$274, 0, AC$14-2017),pop_saúde_suplementar!$A$2:$A$274,controle_formulario!$E$41,pop_saúde_suplementar!$B$2:$B$274,"&gt;="&amp;Populacao!$C16,pop_saúde_suplementar!$B$2:$B$274,"&lt;="&amp;Populacao!$E16) * $G16)</f>
        <v>35.902021176061034</v>
      </c>
      <c r="AD16" s="94">
        <f ca="1">IF($I16&gt;0,$I16,1)*IF($O16&gt;0,$O16,1)*IF($M16&gt;0,$M16,1)*IF($K16&gt;0,$K16,1)*IF($Q16&gt;0,$Q16,1)*IF($S16&gt;0,$S16,1)*IF($U16&gt;0,$U16,1)*IF($W16&gt;0,$W16,1)*IF($Y16&gt;0,$Y16,1)*(SUMIFS(OFFSET(pop_saúde_suplementar!$C$2:$C$274, 0, AD$14-2017),pop_saúde_suplementar!$A$2:$A$274,controle_formulario!$E$41,pop_saúde_suplementar!$B$2:$B$274,"&gt;="&amp;Populacao!$C16,pop_saúde_suplementar!$B$2:$B$274,"&lt;="&amp;Populacao!$E16) * $G16)</f>
        <v>36.027114594978322</v>
      </c>
      <c r="AE16" s="94">
        <f ca="1">IF($I16&gt;0,$I16,1)*IF($O16&gt;0,$O16,1)*IF($M16&gt;0,$M16,1)*IF($K16&gt;0,$K16,1)*IF($Q16&gt;0,$Q16,1)*IF($S16&gt;0,$S16,1)*IF($U16&gt;0,$U16,1)*IF($W16&gt;0,$W16,1)*IF($Y16&gt;0,$Y16,1)*(SUMIFS(OFFSET(pop_saúde_suplementar!$C$2:$C$274, 0, AE$14-2017),pop_saúde_suplementar!$A$2:$A$274,controle_formulario!$E$41,pop_saúde_suplementar!$B$2:$B$274,"&gt;="&amp;Populacao!$C16,pop_saúde_suplementar!$B$2:$B$274,"&lt;="&amp;Populacao!$E16) * $G16)</f>
        <v>36.142742272880319</v>
      </c>
      <c r="AF16" s="94">
        <f ca="1">IF($I16&gt;0,$I16,1)*IF($O16&gt;0,$O16,1)*IF($M16&gt;0,$M16,1)*IF($K16&gt;0,$K16,1)*IF($Q16&gt;0,$Q16,1)*IF($S16&gt;0,$S16,1)*IF($U16&gt;0,$U16,1)*IF($W16&gt;0,$W16,1)*IF($Y16&gt;0,$Y16,1)*(SUMIFS(OFFSET(pop_saúde_suplementar!$C$2:$C$274, 0, AF$14-2017),pop_saúde_suplementar!$A$2:$A$274,controle_formulario!$E$41,pop_saúde_suplementar!$B$2:$B$274,"&gt;="&amp;Populacao!$C16,pop_saúde_suplementar!$B$2:$B$274,"&lt;="&amp;Populacao!$E16) * $G16)</f>
        <v>36.250027878529522</v>
      </c>
      <c r="AG16" s="94">
        <f ca="1">IF($I16&gt;0,$I16,1)*IF($O16&gt;0,$O16,1)*IF($M16&gt;0,$M16,1)*IF($K16&gt;0,$K16,1)*IF($Q16&gt;0,$Q16,1)*IF($S16&gt;0,$S16,1)*IF($U16&gt;0,$U16,1)*IF($W16&gt;0,$W16,1)*IF($Y16&gt;0,$Y16,1)*(SUMIFS(OFFSET(pop_saúde_suplementar!$C$2:$C$274, 0, AG$14-2017),pop_saúde_suplementar!$A$2:$A$274,controle_formulario!$E$41,pop_saúde_suplementar!$B$2:$B$274,"&gt;="&amp;Populacao!$C16,pop_saúde_suplementar!$B$2:$B$274,"&lt;="&amp;Populacao!$E16) * $G16)</f>
        <v>36.350592396534239</v>
      </c>
      <c r="AH16" s="94">
        <f ca="1">IF($I16&gt;0,$I16,1)*IF($O16&gt;0,$O16,1)*IF($M16&gt;0,$M16,1)*IF($K16&gt;0,$K16,1)*IF($Q16&gt;0,$Q16,1)*IF($S16&gt;0,$S16,1)*IF($U16&gt;0,$U16,1)*IF($W16&gt;0,$W16,1)*IF($Y16&gt;0,$Y16,1)*(SUMIFS(OFFSET(pop_saúde_suplementar!$C$2:$C$274, 0, AH$14-2017),pop_saúde_suplementar!$A$2:$A$274,controle_formulario!$E$41,pop_saúde_suplementar!$B$2:$B$274,"&gt;="&amp;Populacao!$C16,pop_saúde_suplementar!$B$2:$B$274,"&lt;="&amp;Populacao!$E16) * $G16)</f>
        <v>36.444300512344562</v>
      </c>
      <c r="AI16" s="94">
        <f ca="1">IF($I16&gt;0,$I16,1)*IF($O16&gt;0,$O16,1)*IF($M16&gt;0,$M16,1)*IF($K16&gt;0,$K16,1)*IF($Q16&gt;0,$Q16,1)*IF($S16&gt;0,$S16,1)*IF($U16&gt;0,$U16,1)*IF($W16&gt;0,$W16,1)*IF($Y16&gt;0,$Y16,1)*(SUMIFS(OFFSET(pop_saúde_suplementar!$C$2:$C$274, 0, AI$14-2017),pop_saúde_suplementar!$A$2:$A$274,controle_formulario!$E$41,pop_saúde_suplementar!$B$2:$B$274,"&gt;="&amp;Populacao!$C16,pop_saúde_suplementar!$B$2:$B$274,"&lt;="&amp;Populacao!$E16) * $G16)</f>
        <v>36.530413575917358</v>
      </c>
      <c r="AJ16" s="94">
        <f ca="1">IF($I16&gt;0,$I16,1)*IF($O16&gt;0,$O16,1)*IF($M16&gt;0,$M16,1)*IF($K16&gt;0,$K16,1)*IF($Q16&gt;0,$Q16,1)*IF($S16&gt;0,$S16,1)*IF($U16&gt;0,$U16,1)*IF($W16&gt;0,$W16,1)*IF($Y16&gt;0,$Y16,1)*(SUMIFS(OFFSET(pop_saúde_suplementar!$C$2:$C$274, 0, AJ$14-2017),pop_saúde_suplementar!$A$2:$A$274,controle_formulario!$E$41,pop_saúde_suplementar!$B$2:$B$274,"&gt;="&amp;Populacao!$C16,pop_saúde_suplementar!$B$2:$B$274,"&lt;="&amp;Populacao!$E16) * $G16)</f>
        <v>36.609633269918717</v>
      </c>
      <c r="AK16" s="94">
        <f ca="1">IF($I16&gt;0,$I16,1)*IF($O16&gt;0,$O16,1)*IF($M16&gt;0,$M16,1)*IF($K16&gt;0,$K16,1)*IF($Q16&gt;0,$Q16,1)*IF($S16&gt;0,$S16,1)*IF($U16&gt;0,$U16,1)*IF($W16&gt;0,$W16,1)*IF($Y16&gt;0,$Y16,1)*(SUMIFS(OFFSET(pop_saúde_suplementar!$C$2:$C$274, 0, AK$14-2017),pop_saúde_suplementar!$A$2:$A$274,controle_formulario!$E$41,pop_saúde_suplementar!$B$2:$B$274,"&gt;="&amp;Populacao!$C16,pop_saúde_suplementar!$B$2:$B$274,"&lt;="&amp;Populacao!$E16) * $G16)</f>
        <v>36.683234620107676</v>
      </c>
      <c r="AL16" s="94">
        <f ca="1">IF($I16&gt;0,$I16,1)*IF($O16&gt;0,$O16,1)*IF($M16&gt;0,$M16,1)*IF($K16&gt;0,$K16,1)*IF($Q16&gt;0,$Q16,1)*IF($S16&gt;0,$S16,1)*IF($U16&gt;0,$U16,1)*IF($W16&gt;0,$W16,1)*IF($Y16&gt;0,$Y16,1)*(SUMIFS(OFFSET(pop_saúde_suplementar!$C$2:$C$274, 0, AL$14-2017),pop_saúde_suplementar!$A$2:$A$274,controle_formulario!$E$41,pop_saúde_suplementar!$B$2:$B$274,"&gt;="&amp;Populacao!$C16,pop_saúde_suplementar!$B$2:$B$274,"&lt;="&amp;Populacao!$E16) * $G16)</f>
        <v>36.750027695442164</v>
      </c>
      <c r="AM16" s="6"/>
      <c r="AO16" s="140" t="str">
        <f>IF(controle_formulario!$C$39=2,"Ocultar","")</f>
        <v/>
      </c>
      <c r="AP16" s="34"/>
      <c r="AQ16" s="109"/>
      <c r="AR16" s="33"/>
      <c r="AS16" s="33"/>
    </row>
    <row r="17" spans="2:45" x14ac:dyDescent="0.3">
      <c r="B17" s="5"/>
      <c r="C17" s="44"/>
      <c r="D17" s="42" t="s">
        <v>39</v>
      </c>
      <c r="E17" s="44"/>
      <c r="F17" s="42"/>
      <c r="G17" s="46"/>
      <c r="H17" s="42"/>
      <c r="I17" s="46"/>
      <c r="J17" s="42"/>
      <c r="K17" s="46"/>
      <c r="L17" s="42"/>
      <c r="M17" s="46"/>
      <c r="N17" s="42"/>
      <c r="O17" s="46"/>
      <c r="P17" s="11"/>
      <c r="Q17" s="46"/>
      <c r="R17" s="11"/>
      <c r="S17" s="46"/>
      <c r="T17" s="11"/>
      <c r="U17" s="46"/>
      <c r="V17" s="11"/>
      <c r="W17" s="46"/>
      <c r="X17" s="11"/>
      <c r="Y17" s="46"/>
      <c r="Z17" s="11"/>
      <c r="AA17" s="143"/>
      <c r="AB17" s="25"/>
      <c r="AC17" s="94">
        <f ca="1">IF($I17&gt;0,$I17,1)*IF($O17&gt;0,$O17,1)*IF($M17&gt;0,$M17,1)*IF($K17&gt;0,$K17,1)*IF($Q17&gt;0,$Q17,1)*IF($S17&gt;0,$S17,1)*IF($U17&gt;0,$U17,1)*IF($W17&gt;0,$W17,1)*IF($Y17&gt;0,$Y17,1)*(SUMIFS(OFFSET(pop_saúde_suplementar!$C$2:$C$274, 0, AC$14-2017),pop_saúde_suplementar!$A$2:$A$274,controle_formulario!$E$41,pop_saúde_suplementar!$B$2:$B$274,"&gt;="&amp;Populacao!$C17,pop_saúde_suplementar!$B$2:$B$274,"&lt;="&amp;Populacao!$E17) * $G17)</f>
        <v>0</v>
      </c>
      <c r="AD17" s="94">
        <f ca="1">IF($I17&gt;0,$I17,1)*IF($O17&gt;0,$O17,1)*IF($M17&gt;0,$M17,1)*IF($K17&gt;0,$K17,1)*IF($Q17&gt;0,$Q17,1)*IF($S17&gt;0,$S17,1)*IF($U17&gt;0,$U17,1)*IF($W17&gt;0,$W17,1)*IF($Y17&gt;0,$Y17,1)*(SUMIFS(OFFSET(pop_saúde_suplementar!$C$2:$C$274, 0, AD$14-2017),pop_saúde_suplementar!$A$2:$A$274,controle_formulario!$E$41,pop_saúde_suplementar!$B$2:$B$274,"&gt;="&amp;Populacao!$C17,pop_saúde_suplementar!$B$2:$B$274,"&lt;="&amp;Populacao!$E17) * $G17)</f>
        <v>0</v>
      </c>
      <c r="AE17" s="94">
        <f ca="1">IF($I17&gt;0,$I17,1)*IF($O17&gt;0,$O17,1)*IF($M17&gt;0,$M17,1)*IF($K17&gt;0,$K17,1)*IF($Q17&gt;0,$Q17,1)*IF($S17&gt;0,$S17,1)*IF($U17&gt;0,$U17,1)*IF($W17&gt;0,$W17,1)*IF($Y17&gt;0,$Y17,1)*(SUMIFS(OFFSET(pop_saúde_suplementar!$C$2:$C$274, 0, AE$14-2017),pop_saúde_suplementar!$A$2:$A$274,controle_formulario!$E$41,pop_saúde_suplementar!$B$2:$B$274,"&gt;="&amp;Populacao!$C17,pop_saúde_suplementar!$B$2:$B$274,"&lt;="&amp;Populacao!$E17) * $G17)</f>
        <v>0</v>
      </c>
      <c r="AF17" s="94">
        <f ca="1">IF($I17&gt;0,$I17,1)*IF($O17&gt;0,$O17,1)*IF($M17&gt;0,$M17,1)*IF($K17&gt;0,$K17,1)*IF($Q17&gt;0,$Q17,1)*IF($S17&gt;0,$S17,1)*IF($U17&gt;0,$U17,1)*IF($W17&gt;0,$W17,1)*IF($Y17&gt;0,$Y17,1)*(SUMIFS(OFFSET(pop_saúde_suplementar!$C$2:$C$274, 0, AF$14-2017),pop_saúde_suplementar!$A$2:$A$274,controle_formulario!$E$41,pop_saúde_suplementar!$B$2:$B$274,"&gt;="&amp;Populacao!$C17,pop_saúde_suplementar!$B$2:$B$274,"&lt;="&amp;Populacao!$E17) * $G17)</f>
        <v>0</v>
      </c>
      <c r="AG17" s="94">
        <f ca="1">IF($I17&gt;0,$I17,1)*IF($O17&gt;0,$O17,1)*IF($M17&gt;0,$M17,1)*IF($K17&gt;0,$K17,1)*IF($Q17&gt;0,$Q17,1)*IF($S17&gt;0,$S17,1)*IF($U17&gt;0,$U17,1)*IF($W17&gt;0,$W17,1)*IF($Y17&gt;0,$Y17,1)*(SUMIFS(OFFSET(pop_saúde_suplementar!$C$2:$C$274, 0, AG$14-2017),pop_saúde_suplementar!$A$2:$A$274,controle_formulario!$E$41,pop_saúde_suplementar!$B$2:$B$274,"&gt;="&amp;Populacao!$C17,pop_saúde_suplementar!$B$2:$B$274,"&lt;="&amp;Populacao!$E17) * $G17)</f>
        <v>0</v>
      </c>
      <c r="AH17" s="94">
        <f ca="1">IF($I17&gt;0,$I17,1)*IF($O17&gt;0,$O17,1)*IF($M17&gt;0,$M17,1)*IF($K17&gt;0,$K17,1)*IF($Q17&gt;0,$Q17,1)*IF($S17&gt;0,$S17,1)*IF($U17&gt;0,$U17,1)*IF($W17&gt;0,$W17,1)*IF($Y17&gt;0,$Y17,1)*(SUMIFS(OFFSET(pop_saúde_suplementar!$C$2:$C$274, 0, AH$14-2017),pop_saúde_suplementar!$A$2:$A$274,controle_formulario!$E$41,pop_saúde_suplementar!$B$2:$B$274,"&gt;="&amp;Populacao!$C17,pop_saúde_suplementar!$B$2:$B$274,"&lt;="&amp;Populacao!$E17) * $G17)</f>
        <v>0</v>
      </c>
      <c r="AI17" s="94">
        <f ca="1">IF($I17&gt;0,$I17,1)*IF($O17&gt;0,$O17,1)*IF($M17&gt;0,$M17,1)*IF($K17&gt;0,$K17,1)*IF($Q17&gt;0,$Q17,1)*IF($S17&gt;0,$S17,1)*IF($U17&gt;0,$U17,1)*IF($W17&gt;0,$W17,1)*IF($Y17&gt;0,$Y17,1)*(SUMIFS(OFFSET(pop_saúde_suplementar!$C$2:$C$274, 0, AI$14-2017),pop_saúde_suplementar!$A$2:$A$274,controle_formulario!$E$41,pop_saúde_suplementar!$B$2:$B$274,"&gt;="&amp;Populacao!$C17,pop_saúde_suplementar!$B$2:$B$274,"&lt;="&amp;Populacao!$E17) * $G17)</f>
        <v>0</v>
      </c>
      <c r="AJ17" s="94">
        <f ca="1">IF($I17&gt;0,$I17,1)*IF($O17&gt;0,$O17,1)*IF($M17&gt;0,$M17,1)*IF($K17&gt;0,$K17,1)*IF($Q17&gt;0,$Q17,1)*IF($S17&gt;0,$S17,1)*IF($U17&gt;0,$U17,1)*IF($W17&gt;0,$W17,1)*IF($Y17&gt;0,$Y17,1)*(SUMIFS(OFFSET(pop_saúde_suplementar!$C$2:$C$274, 0, AJ$14-2017),pop_saúde_suplementar!$A$2:$A$274,controle_formulario!$E$41,pop_saúde_suplementar!$B$2:$B$274,"&gt;="&amp;Populacao!$C17,pop_saúde_suplementar!$B$2:$B$274,"&lt;="&amp;Populacao!$E17) * $G17)</f>
        <v>0</v>
      </c>
      <c r="AK17" s="94">
        <f ca="1">IF($I17&gt;0,$I17,1)*IF($O17&gt;0,$O17,1)*IF($M17&gt;0,$M17,1)*IF($K17&gt;0,$K17,1)*IF($Q17&gt;0,$Q17,1)*IF($S17&gt;0,$S17,1)*IF($U17&gt;0,$U17,1)*IF($W17&gt;0,$W17,1)*IF($Y17&gt;0,$Y17,1)*(SUMIFS(OFFSET(pop_saúde_suplementar!$C$2:$C$274, 0, AK$14-2017),pop_saúde_suplementar!$A$2:$A$274,controle_formulario!$E$41,pop_saúde_suplementar!$B$2:$B$274,"&gt;="&amp;Populacao!$C17,pop_saúde_suplementar!$B$2:$B$274,"&lt;="&amp;Populacao!$E17) * $G17)</f>
        <v>0</v>
      </c>
      <c r="AL17" s="94">
        <f ca="1">IF($I17&gt;0,$I17,1)*IF($O17&gt;0,$O17,1)*IF($M17&gt;0,$M17,1)*IF($K17&gt;0,$K17,1)*IF($Q17&gt;0,$Q17,1)*IF($S17&gt;0,$S17,1)*IF($U17&gt;0,$U17,1)*IF($W17&gt;0,$W17,1)*IF($Y17&gt;0,$Y17,1)*(SUMIFS(OFFSET(pop_saúde_suplementar!$C$2:$C$274, 0, AL$14-2017),pop_saúde_suplementar!$A$2:$A$274,controle_formulario!$E$41,pop_saúde_suplementar!$B$2:$B$274,"&gt;="&amp;Populacao!$C17,pop_saúde_suplementar!$B$2:$B$274,"&lt;="&amp;Populacao!$E17) * $G17)</f>
        <v>0</v>
      </c>
      <c r="AM17" s="6"/>
      <c r="AO17" s="140" t="str">
        <f>IF(controle_formulario!$C$39=2,"Ocultar","")</f>
        <v/>
      </c>
      <c r="AQ17" s="109"/>
      <c r="AR17" s="33"/>
      <c r="AS17" s="33"/>
    </row>
    <row r="18" spans="2:45" x14ac:dyDescent="0.3">
      <c r="B18" s="5"/>
      <c r="C18" s="44"/>
      <c r="D18" s="42" t="s">
        <v>39</v>
      </c>
      <c r="E18" s="44"/>
      <c r="F18" s="42"/>
      <c r="G18" s="46"/>
      <c r="H18" s="42"/>
      <c r="I18" s="46"/>
      <c r="J18" s="42"/>
      <c r="K18" s="46"/>
      <c r="L18" s="42"/>
      <c r="M18" s="46"/>
      <c r="N18" s="42"/>
      <c r="O18" s="46"/>
      <c r="P18" s="11"/>
      <c r="Q18" s="46"/>
      <c r="R18" s="11"/>
      <c r="S18" s="46"/>
      <c r="T18" s="11"/>
      <c r="U18" s="46"/>
      <c r="V18" s="11"/>
      <c r="W18" s="46"/>
      <c r="X18" s="11"/>
      <c r="Y18" s="46"/>
      <c r="Z18" s="11"/>
      <c r="AA18" s="143"/>
      <c r="AB18" s="25"/>
      <c r="AC18" s="94">
        <f ca="1">IF($I18&gt;0,$I18,1)*IF($O18&gt;0,$O18,1)*IF($M18&gt;0,$M18,1)*IF($K18&gt;0,$K18,1)*IF($Q18&gt;0,$Q18,1)*IF($S18&gt;0,$S18,1)*IF($U18&gt;0,$U18,1)*IF($W18&gt;0,$W18,1)*IF($Y18&gt;0,$Y18,1)*(SUMIFS(OFFSET(pop_saúde_suplementar!$C$2:$C$274, 0, AC$14-2017),pop_saúde_suplementar!$A$2:$A$274,controle_formulario!$E$41,pop_saúde_suplementar!$B$2:$B$274,"&gt;="&amp;Populacao!$C18,pop_saúde_suplementar!$B$2:$B$274,"&lt;="&amp;Populacao!$E18) * $G18)</f>
        <v>0</v>
      </c>
      <c r="AD18" s="94">
        <f ca="1">IF($I18&gt;0,$I18,1)*IF($O18&gt;0,$O18,1)*IF($M18&gt;0,$M18,1)*IF($K18&gt;0,$K18,1)*IF($Q18&gt;0,$Q18,1)*IF($S18&gt;0,$S18,1)*IF($U18&gt;0,$U18,1)*IF($W18&gt;0,$W18,1)*IF($Y18&gt;0,$Y18,1)*(SUMIFS(OFFSET(pop_saúde_suplementar!$C$2:$C$274, 0, AD$14-2017),pop_saúde_suplementar!$A$2:$A$274,controle_formulario!$E$41,pop_saúde_suplementar!$B$2:$B$274,"&gt;="&amp;Populacao!$C18,pop_saúde_suplementar!$B$2:$B$274,"&lt;="&amp;Populacao!$E18) * $G18)</f>
        <v>0</v>
      </c>
      <c r="AE18" s="94">
        <f ca="1">IF($I18&gt;0,$I18,1)*IF($O18&gt;0,$O18,1)*IF($M18&gt;0,$M18,1)*IF($K18&gt;0,$K18,1)*IF($Q18&gt;0,$Q18,1)*IF($S18&gt;0,$S18,1)*IF($U18&gt;0,$U18,1)*IF($W18&gt;0,$W18,1)*IF($Y18&gt;0,$Y18,1)*(SUMIFS(OFFSET(pop_saúde_suplementar!$C$2:$C$274, 0, AE$14-2017),pop_saúde_suplementar!$A$2:$A$274,controle_formulario!$E$41,pop_saúde_suplementar!$B$2:$B$274,"&gt;="&amp;Populacao!$C18,pop_saúde_suplementar!$B$2:$B$274,"&lt;="&amp;Populacao!$E18) * $G18)</f>
        <v>0</v>
      </c>
      <c r="AF18" s="94">
        <f ca="1">IF($I18&gt;0,$I18,1)*IF($O18&gt;0,$O18,1)*IF($M18&gt;0,$M18,1)*IF($K18&gt;0,$K18,1)*IF($Q18&gt;0,$Q18,1)*IF($S18&gt;0,$S18,1)*IF($U18&gt;0,$U18,1)*IF($W18&gt;0,$W18,1)*IF($Y18&gt;0,$Y18,1)*(SUMIFS(OFFSET(pop_saúde_suplementar!$C$2:$C$274, 0, AF$14-2017),pop_saúde_suplementar!$A$2:$A$274,controle_formulario!$E$41,pop_saúde_suplementar!$B$2:$B$274,"&gt;="&amp;Populacao!$C18,pop_saúde_suplementar!$B$2:$B$274,"&lt;="&amp;Populacao!$E18) * $G18)</f>
        <v>0</v>
      </c>
      <c r="AG18" s="94">
        <f ca="1">IF($I18&gt;0,$I18,1)*IF($O18&gt;0,$O18,1)*IF($M18&gt;0,$M18,1)*IF($K18&gt;0,$K18,1)*IF($Q18&gt;0,$Q18,1)*IF($S18&gt;0,$S18,1)*IF($U18&gt;0,$U18,1)*IF($W18&gt;0,$W18,1)*IF($Y18&gt;0,$Y18,1)*(SUMIFS(OFFSET(pop_saúde_suplementar!$C$2:$C$274, 0, AG$14-2017),pop_saúde_suplementar!$A$2:$A$274,controle_formulario!$E$41,pop_saúde_suplementar!$B$2:$B$274,"&gt;="&amp;Populacao!$C18,pop_saúde_suplementar!$B$2:$B$274,"&lt;="&amp;Populacao!$E18) * $G18)</f>
        <v>0</v>
      </c>
      <c r="AH18" s="94">
        <f ca="1">IF($I18&gt;0,$I18,1)*IF($O18&gt;0,$O18,1)*IF($M18&gt;0,$M18,1)*IF($K18&gt;0,$K18,1)*IF($Q18&gt;0,$Q18,1)*IF($S18&gt;0,$S18,1)*IF($U18&gt;0,$U18,1)*IF($W18&gt;0,$W18,1)*IF($Y18&gt;0,$Y18,1)*(SUMIFS(OFFSET(pop_saúde_suplementar!$C$2:$C$274, 0, AH$14-2017),pop_saúde_suplementar!$A$2:$A$274,controle_formulario!$E$41,pop_saúde_suplementar!$B$2:$B$274,"&gt;="&amp;Populacao!$C18,pop_saúde_suplementar!$B$2:$B$274,"&lt;="&amp;Populacao!$E18) * $G18)</f>
        <v>0</v>
      </c>
      <c r="AI18" s="94">
        <f ca="1">IF($I18&gt;0,$I18,1)*IF($O18&gt;0,$O18,1)*IF($M18&gt;0,$M18,1)*IF($K18&gt;0,$K18,1)*IF($Q18&gt;0,$Q18,1)*IF($S18&gt;0,$S18,1)*IF($U18&gt;0,$U18,1)*IF($W18&gt;0,$W18,1)*IF($Y18&gt;0,$Y18,1)*(SUMIFS(OFFSET(pop_saúde_suplementar!$C$2:$C$274, 0, AI$14-2017),pop_saúde_suplementar!$A$2:$A$274,controle_formulario!$E$41,pop_saúde_suplementar!$B$2:$B$274,"&gt;="&amp;Populacao!$C18,pop_saúde_suplementar!$B$2:$B$274,"&lt;="&amp;Populacao!$E18) * $G18)</f>
        <v>0</v>
      </c>
      <c r="AJ18" s="94">
        <f ca="1">IF($I18&gt;0,$I18,1)*IF($O18&gt;0,$O18,1)*IF($M18&gt;0,$M18,1)*IF($K18&gt;0,$K18,1)*IF($Q18&gt;0,$Q18,1)*IF($S18&gt;0,$S18,1)*IF($U18&gt;0,$U18,1)*IF($W18&gt;0,$W18,1)*IF($Y18&gt;0,$Y18,1)*(SUMIFS(OFFSET(pop_saúde_suplementar!$C$2:$C$274, 0, AJ$14-2017),pop_saúde_suplementar!$A$2:$A$274,controle_formulario!$E$41,pop_saúde_suplementar!$B$2:$B$274,"&gt;="&amp;Populacao!$C18,pop_saúde_suplementar!$B$2:$B$274,"&lt;="&amp;Populacao!$E18) * $G18)</f>
        <v>0</v>
      </c>
      <c r="AK18" s="94">
        <f ca="1">IF($I18&gt;0,$I18,1)*IF($O18&gt;0,$O18,1)*IF($M18&gt;0,$M18,1)*IF($K18&gt;0,$K18,1)*IF($Q18&gt;0,$Q18,1)*IF($S18&gt;0,$S18,1)*IF($U18&gt;0,$U18,1)*IF($W18&gt;0,$W18,1)*IF($Y18&gt;0,$Y18,1)*(SUMIFS(OFFSET(pop_saúde_suplementar!$C$2:$C$274, 0, AK$14-2017),pop_saúde_suplementar!$A$2:$A$274,controle_formulario!$E$41,pop_saúde_suplementar!$B$2:$B$274,"&gt;="&amp;Populacao!$C18,pop_saúde_suplementar!$B$2:$B$274,"&lt;="&amp;Populacao!$E18) * $G18)</f>
        <v>0</v>
      </c>
      <c r="AL18" s="94">
        <f ca="1">IF($I18&gt;0,$I18,1)*IF($O18&gt;0,$O18,1)*IF($M18&gt;0,$M18,1)*IF($K18&gt;0,$K18,1)*IF($Q18&gt;0,$Q18,1)*IF($S18&gt;0,$S18,1)*IF($U18&gt;0,$U18,1)*IF($W18&gt;0,$W18,1)*IF($Y18&gt;0,$Y18,1)*(SUMIFS(OFFSET(pop_saúde_suplementar!$C$2:$C$274, 0, AL$14-2017),pop_saúde_suplementar!$A$2:$A$274,controle_formulario!$E$41,pop_saúde_suplementar!$B$2:$B$274,"&gt;="&amp;Populacao!$C18,pop_saúde_suplementar!$B$2:$B$274,"&lt;="&amp;Populacao!$E18) * $G18)</f>
        <v>0</v>
      </c>
      <c r="AM18" s="6"/>
      <c r="AO18" s="140" t="str">
        <f>IF(controle_formulario!$C$39=2,"Ocultar","")</f>
        <v/>
      </c>
      <c r="AQ18" s="109"/>
      <c r="AR18" s="33"/>
      <c r="AS18" s="33"/>
    </row>
    <row r="19" spans="2:45" x14ac:dyDescent="0.3">
      <c r="B19" s="5"/>
      <c r="C19" s="44"/>
      <c r="D19" s="42" t="s">
        <v>39</v>
      </c>
      <c r="E19" s="44"/>
      <c r="F19" s="42"/>
      <c r="G19" s="46"/>
      <c r="H19" s="42"/>
      <c r="I19" s="46"/>
      <c r="J19" s="42"/>
      <c r="K19" s="46"/>
      <c r="L19" s="42"/>
      <c r="M19" s="46"/>
      <c r="N19" s="42"/>
      <c r="O19" s="46"/>
      <c r="P19" s="11"/>
      <c r="Q19" s="46"/>
      <c r="R19" s="11"/>
      <c r="S19" s="46"/>
      <c r="T19" s="11"/>
      <c r="U19" s="46"/>
      <c r="V19" s="11"/>
      <c r="W19" s="46"/>
      <c r="X19" s="11"/>
      <c r="Y19" s="46"/>
      <c r="Z19" s="11"/>
      <c r="AA19" s="143"/>
      <c r="AB19" s="25"/>
      <c r="AC19" s="94">
        <f ca="1">IF($I19&gt;0,$I19,1)*IF($O19&gt;0,$O19,1)*IF($M19&gt;0,$M19,1)*IF($K19&gt;0,$K19,1)*IF($Q19&gt;0,$Q19,1)*IF($S19&gt;0,$S19,1)*IF($U19&gt;0,$U19,1)*IF($W19&gt;0,$W19,1)*IF($Y19&gt;0,$Y19,1)*(SUMIFS(OFFSET(pop_saúde_suplementar!$C$2:$C$274, 0, AC$14-2017),pop_saúde_suplementar!$A$2:$A$274,controle_formulario!$E$41,pop_saúde_suplementar!$B$2:$B$274,"&gt;="&amp;Populacao!$C19,pop_saúde_suplementar!$B$2:$B$274,"&lt;="&amp;Populacao!$E19) * $G19)</f>
        <v>0</v>
      </c>
      <c r="AD19" s="94">
        <f ca="1">IF($I19&gt;0,$I19,1)*IF($O19&gt;0,$O19,1)*IF($M19&gt;0,$M19,1)*IF($K19&gt;0,$K19,1)*IF($Q19&gt;0,$Q19,1)*IF($S19&gt;0,$S19,1)*IF($U19&gt;0,$U19,1)*IF($W19&gt;0,$W19,1)*IF($Y19&gt;0,$Y19,1)*(SUMIFS(OFFSET(pop_saúde_suplementar!$C$2:$C$274, 0, AD$14-2017),pop_saúde_suplementar!$A$2:$A$274,controle_formulario!$E$41,pop_saúde_suplementar!$B$2:$B$274,"&gt;="&amp;Populacao!$C19,pop_saúde_suplementar!$B$2:$B$274,"&lt;="&amp;Populacao!$E19) * $G19)</f>
        <v>0</v>
      </c>
      <c r="AE19" s="94">
        <f ca="1">IF($I19&gt;0,$I19,1)*IF($O19&gt;0,$O19,1)*IF($M19&gt;0,$M19,1)*IF($K19&gt;0,$K19,1)*IF($Q19&gt;0,$Q19,1)*IF($S19&gt;0,$S19,1)*IF($U19&gt;0,$U19,1)*IF($W19&gt;0,$W19,1)*IF($Y19&gt;0,$Y19,1)*(SUMIFS(OFFSET(pop_saúde_suplementar!$C$2:$C$274, 0, AE$14-2017),pop_saúde_suplementar!$A$2:$A$274,controle_formulario!$E$41,pop_saúde_suplementar!$B$2:$B$274,"&gt;="&amp;Populacao!$C19,pop_saúde_suplementar!$B$2:$B$274,"&lt;="&amp;Populacao!$E19) * $G19)</f>
        <v>0</v>
      </c>
      <c r="AF19" s="94">
        <f ca="1">IF($I19&gt;0,$I19,1)*IF($O19&gt;0,$O19,1)*IF($M19&gt;0,$M19,1)*IF($K19&gt;0,$K19,1)*IF($Q19&gt;0,$Q19,1)*IF($S19&gt;0,$S19,1)*IF($U19&gt;0,$U19,1)*IF($W19&gt;0,$W19,1)*IF($Y19&gt;0,$Y19,1)*(SUMIFS(OFFSET(pop_saúde_suplementar!$C$2:$C$274, 0, AF$14-2017),pop_saúde_suplementar!$A$2:$A$274,controle_formulario!$E$41,pop_saúde_suplementar!$B$2:$B$274,"&gt;="&amp;Populacao!$C19,pop_saúde_suplementar!$B$2:$B$274,"&lt;="&amp;Populacao!$E19) * $G19)</f>
        <v>0</v>
      </c>
      <c r="AG19" s="94">
        <f ca="1">IF($I19&gt;0,$I19,1)*IF($O19&gt;0,$O19,1)*IF($M19&gt;0,$M19,1)*IF($K19&gt;0,$K19,1)*IF($Q19&gt;0,$Q19,1)*IF($S19&gt;0,$S19,1)*IF($U19&gt;0,$U19,1)*IF($W19&gt;0,$W19,1)*IF($Y19&gt;0,$Y19,1)*(SUMIFS(OFFSET(pop_saúde_suplementar!$C$2:$C$274, 0, AG$14-2017),pop_saúde_suplementar!$A$2:$A$274,controle_formulario!$E$41,pop_saúde_suplementar!$B$2:$B$274,"&gt;="&amp;Populacao!$C19,pop_saúde_suplementar!$B$2:$B$274,"&lt;="&amp;Populacao!$E19) * $G19)</f>
        <v>0</v>
      </c>
      <c r="AH19" s="94">
        <f ca="1">IF($I19&gt;0,$I19,1)*IF($O19&gt;0,$O19,1)*IF($M19&gt;0,$M19,1)*IF($K19&gt;0,$K19,1)*IF($Q19&gt;0,$Q19,1)*IF($S19&gt;0,$S19,1)*IF($U19&gt;0,$U19,1)*IF($W19&gt;0,$W19,1)*IF($Y19&gt;0,$Y19,1)*(SUMIFS(OFFSET(pop_saúde_suplementar!$C$2:$C$274, 0, AH$14-2017),pop_saúde_suplementar!$A$2:$A$274,controle_formulario!$E$41,pop_saúde_suplementar!$B$2:$B$274,"&gt;="&amp;Populacao!$C19,pop_saúde_suplementar!$B$2:$B$274,"&lt;="&amp;Populacao!$E19) * $G19)</f>
        <v>0</v>
      </c>
      <c r="AI19" s="94">
        <f ca="1">IF($I19&gt;0,$I19,1)*IF($O19&gt;0,$O19,1)*IF($M19&gt;0,$M19,1)*IF($K19&gt;0,$K19,1)*IF($Q19&gt;0,$Q19,1)*IF($S19&gt;0,$S19,1)*IF($U19&gt;0,$U19,1)*IF($W19&gt;0,$W19,1)*IF($Y19&gt;0,$Y19,1)*(SUMIFS(OFFSET(pop_saúde_suplementar!$C$2:$C$274, 0, AI$14-2017),pop_saúde_suplementar!$A$2:$A$274,controle_formulario!$E$41,pop_saúde_suplementar!$B$2:$B$274,"&gt;="&amp;Populacao!$C19,pop_saúde_suplementar!$B$2:$B$274,"&lt;="&amp;Populacao!$E19) * $G19)</f>
        <v>0</v>
      </c>
      <c r="AJ19" s="94">
        <f ca="1">IF($I19&gt;0,$I19,1)*IF($O19&gt;0,$O19,1)*IF($M19&gt;0,$M19,1)*IF($K19&gt;0,$K19,1)*IF($Q19&gt;0,$Q19,1)*IF($S19&gt;0,$S19,1)*IF($U19&gt;0,$U19,1)*IF($W19&gt;0,$W19,1)*IF($Y19&gt;0,$Y19,1)*(SUMIFS(OFFSET(pop_saúde_suplementar!$C$2:$C$274, 0, AJ$14-2017),pop_saúde_suplementar!$A$2:$A$274,controle_formulario!$E$41,pop_saúde_suplementar!$B$2:$B$274,"&gt;="&amp;Populacao!$C19,pop_saúde_suplementar!$B$2:$B$274,"&lt;="&amp;Populacao!$E19) * $G19)</f>
        <v>0</v>
      </c>
      <c r="AK19" s="94">
        <f ca="1">IF($I19&gt;0,$I19,1)*IF($O19&gt;0,$O19,1)*IF($M19&gt;0,$M19,1)*IF($K19&gt;0,$K19,1)*IF($Q19&gt;0,$Q19,1)*IF($S19&gt;0,$S19,1)*IF($U19&gt;0,$U19,1)*IF($W19&gt;0,$W19,1)*IF($Y19&gt;0,$Y19,1)*(SUMIFS(OFFSET(pop_saúde_suplementar!$C$2:$C$274, 0, AK$14-2017),pop_saúde_suplementar!$A$2:$A$274,controle_formulario!$E$41,pop_saúde_suplementar!$B$2:$B$274,"&gt;="&amp;Populacao!$C19,pop_saúde_suplementar!$B$2:$B$274,"&lt;="&amp;Populacao!$E19) * $G19)</f>
        <v>0</v>
      </c>
      <c r="AL19" s="94">
        <f ca="1">IF($I19&gt;0,$I19,1)*IF($O19&gt;0,$O19,1)*IF($M19&gt;0,$M19,1)*IF($K19&gt;0,$K19,1)*IF($Q19&gt;0,$Q19,1)*IF($S19&gt;0,$S19,1)*IF($U19&gt;0,$U19,1)*IF($W19&gt;0,$W19,1)*IF($Y19&gt;0,$Y19,1)*(SUMIFS(OFFSET(pop_saúde_suplementar!$C$2:$C$274, 0, AL$14-2017),pop_saúde_suplementar!$A$2:$A$274,controle_formulario!$E$41,pop_saúde_suplementar!$B$2:$B$274,"&gt;="&amp;Populacao!$C19,pop_saúde_suplementar!$B$2:$B$274,"&lt;="&amp;Populacao!$E19) * $G19)</f>
        <v>0</v>
      </c>
      <c r="AM19" s="6"/>
      <c r="AO19" s="140" t="str">
        <f>IF(controle_formulario!$C$39=2,"Ocultar","")</f>
        <v/>
      </c>
      <c r="AQ19" s="109"/>
      <c r="AR19" s="33"/>
      <c r="AS19" s="33"/>
    </row>
    <row r="20" spans="2:45" s="1" customFormat="1" x14ac:dyDescent="0.3">
      <c r="B20" s="130"/>
      <c r="C20" s="131"/>
      <c r="D20" s="132" t="s">
        <v>39</v>
      </c>
      <c r="E20" s="131"/>
      <c r="F20" s="132"/>
      <c r="G20" s="133"/>
      <c r="H20" s="132"/>
      <c r="I20" s="133"/>
      <c r="J20" s="132"/>
      <c r="K20" s="133"/>
      <c r="L20" s="132"/>
      <c r="M20" s="133"/>
      <c r="N20" s="132"/>
      <c r="O20" s="133"/>
      <c r="P20" s="14"/>
      <c r="Q20" s="133"/>
      <c r="R20" s="14"/>
      <c r="S20" s="133"/>
      <c r="T20" s="14"/>
      <c r="U20" s="133"/>
      <c r="V20" s="14"/>
      <c r="W20" s="133"/>
      <c r="X20" s="14"/>
      <c r="Y20" s="133"/>
      <c r="Z20" s="14"/>
      <c r="AA20" s="144"/>
      <c r="AB20" s="134"/>
      <c r="AC20" s="94">
        <f ca="1">IF($I20&gt;0,$I20,1)*IF($O20&gt;0,$O20,1)*IF($M20&gt;0,$M20,1)*IF($K20&gt;0,$K20,1)*IF($Q20&gt;0,$Q20,1)*IF($S20&gt;0,$S20,1)*IF($U20&gt;0,$U20,1)*IF($W20&gt;0,$W20,1)*IF($Y20&gt;0,$Y20,1)*(SUMIFS(OFFSET(pop_saúde_suplementar!$C$2:$C$274, 0, AC$14-2017),pop_saúde_suplementar!$A$2:$A$274,controle_formulario!$E$41,pop_saúde_suplementar!$B$2:$B$274,"&gt;="&amp;Populacao!$C20,pop_saúde_suplementar!$B$2:$B$274,"&lt;="&amp;Populacao!$E20) * $G20)</f>
        <v>0</v>
      </c>
      <c r="AD20" s="94">
        <f ca="1">IF($I20&gt;0,$I20,1)*IF($O20&gt;0,$O20,1)*IF($M20&gt;0,$M20,1)*IF($K20&gt;0,$K20,1)*IF($Q20&gt;0,$Q20,1)*IF($S20&gt;0,$S20,1)*IF($U20&gt;0,$U20,1)*IF($W20&gt;0,$W20,1)*IF($Y20&gt;0,$Y20,1)*(SUMIFS(OFFSET(pop_saúde_suplementar!$C$2:$C$274, 0, AD$14-2017),pop_saúde_suplementar!$A$2:$A$274,controle_formulario!$E$41,pop_saúde_suplementar!$B$2:$B$274,"&gt;="&amp;Populacao!$C20,pop_saúde_suplementar!$B$2:$B$274,"&lt;="&amp;Populacao!$E20) * $G20)</f>
        <v>0</v>
      </c>
      <c r="AE20" s="94">
        <f ca="1">IF($I20&gt;0,$I20,1)*IF($O20&gt;0,$O20,1)*IF($M20&gt;0,$M20,1)*IF($K20&gt;0,$K20,1)*IF($Q20&gt;0,$Q20,1)*IF($S20&gt;0,$S20,1)*IF($U20&gt;0,$U20,1)*IF($W20&gt;0,$W20,1)*IF($Y20&gt;0,$Y20,1)*(SUMIFS(OFFSET(pop_saúde_suplementar!$C$2:$C$274, 0, AE$14-2017),pop_saúde_suplementar!$A$2:$A$274,controle_formulario!$E$41,pop_saúde_suplementar!$B$2:$B$274,"&gt;="&amp;Populacao!$C20,pop_saúde_suplementar!$B$2:$B$274,"&lt;="&amp;Populacao!$E20) * $G20)</f>
        <v>0</v>
      </c>
      <c r="AF20" s="94">
        <f ca="1">IF($I20&gt;0,$I20,1)*IF($O20&gt;0,$O20,1)*IF($M20&gt;0,$M20,1)*IF($K20&gt;0,$K20,1)*IF($Q20&gt;0,$Q20,1)*IF($S20&gt;0,$S20,1)*IF($U20&gt;0,$U20,1)*IF($W20&gt;0,$W20,1)*IF($Y20&gt;0,$Y20,1)*(SUMIFS(OFFSET(pop_saúde_suplementar!$C$2:$C$274, 0, AF$14-2017),pop_saúde_suplementar!$A$2:$A$274,controle_formulario!$E$41,pop_saúde_suplementar!$B$2:$B$274,"&gt;="&amp;Populacao!$C20,pop_saúde_suplementar!$B$2:$B$274,"&lt;="&amp;Populacao!$E20) * $G20)</f>
        <v>0</v>
      </c>
      <c r="AG20" s="94">
        <f ca="1">IF($I20&gt;0,$I20,1)*IF($O20&gt;0,$O20,1)*IF($M20&gt;0,$M20,1)*IF($K20&gt;0,$K20,1)*IF($Q20&gt;0,$Q20,1)*IF($S20&gt;0,$S20,1)*IF($U20&gt;0,$U20,1)*IF($W20&gt;0,$W20,1)*IF($Y20&gt;0,$Y20,1)*(SUMIFS(OFFSET(pop_saúde_suplementar!$C$2:$C$274, 0, AG$14-2017),pop_saúde_suplementar!$A$2:$A$274,controle_formulario!$E$41,pop_saúde_suplementar!$B$2:$B$274,"&gt;="&amp;Populacao!$C20,pop_saúde_suplementar!$B$2:$B$274,"&lt;="&amp;Populacao!$E20) * $G20)</f>
        <v>0</v>
      </c>
      <c r="AH20" s="94">
        <f ca="1">IF($I20&gt;0,$I20,1)*IF($O20&gt;0,$O20,1)*IF($M20&gt;0,$M20,1)*IF($K20&gt;0,$K20,1)*IF($Q20&gt;0,$Q20,1)*IF($S20&gt;0,$S20,1)*IF($U20&gt;0,$U20,1)*IF($W20&gt;0,$W20,1)*IF($Y20&gt;0,$Y20,1)*(SUMIFS(OFFSET(pop_saúde_suplementar!$C$2:$C$274, 0, AH$14-2017),pop_saúde_suplementar!$A$2:$A$274,controle_formulario!$E$41,pop_saúde_suplementar!$B$2:$B$274,"&gt;="&amp;Populacao!$C20,pop_saúde_suplementar!$B$2:$B$274,"&lt;="&amp;Populacao!$E20) * $G20)</f>
        <v>0</v>
      </c>
      <c r="AI20" s="94">
        <f ca="1">IF($I20&gt;0,$I20,1)*IF($O20&gt;0,$O20,1)*IF($M20&gt;0,$M20,1)*IF($K20&gt;0,$K20,1)*IF($Q20&gt;0,$Q20,1)*IF($S20&gt;0,$S20,1)*IF($U20&gt;0,$U20,1)*IF($W20&gt;0,$W20,1)*IF($Y20&gt;0,$Y20,1)*(SUMIFS(OFFSET(pop_saúde_suplementar!$C$2:$C$274, 0, AI$14-2017),pop_saúde_suplementar!$A$2:$A$274,controle_formulario!$E$41,pop_saúde_suplementar!$B$2:$B$274,"&gt;="&amp;Populacao!$C20,pop_saúde_suplementar!$B$2:$B$274,"&lt;="&amp;Populacao!$E20) * $G20)</f>
        <v>0</v>
      </c>
      <c r="AJ20" s="94">
        <f ca="1">IF($I20&gt;0,$I20,1)*IF($O20&gt;0,$O20,1)*IF($M20&gt;0,$M20,1)*IF($K20&gt;0,$K20,1)*IF($Q20&gt;0,$Q20,1)*IF($S20&gt;0,$S20,1)*IF($U20&gt;0,$U20,1)*IF($W20&gt;0,$W20,1)*IF($Y20&gt;0,$Y20,1)*(SUMIFS(OFFSET(pop_saúde_suplementar!$C$2:$C$274, 0, AJ$14-2017),pop_saúde_suplementar!$A$2:$A$274,controle_formulario!$E$41,pop_saúde_suplementar!$B$2:$B$274,"&gt;="&amp;Populacao!$C20,pop_saúde_suplementar!$B$2:$B$274,"&lt;="&amp;Populacao!$E20) * $G20)</f>
        <v>0</v>
      </c>
      <c r="AK20" s="94">
        <f ca="1">IF($I20&gt;0,$I20,1)*IF($O20&gt;0,$O20,1)*IF($M20&gt;0,$M20,1)*IF($K20&gt;0,$K20,1)*IF($Q20&gt;0,$Q20,1)*IF($S20&gt;0,$S20,1)*IF($U20&gt;0,$U20,1)*IF($W20&gt;0,$W20,1)*IF($Y20&gt;0,$Y20,1)*(SUMIFS(OFFSET(pop_saúde_suplementar!$C$2:$C$274, 0, AK$14-2017),pop_saúde_suplementar!$A$2:$A$274,controle_formulario!$E$41,pop_saúde_suplementar!$B$2:$B$274,"&gt;="&amp;Populacao!$C20,pop_saúde_suplementar!$B$2:$B$274,"&lt;="&amp;Populacao!$E20) * $G20)</f>
        <v>0</v>
      </c>
      <c r="AL20" s="94">
        <f ca="1">IF($I20&gt;0,$I20,1)*IF($O20&gt;0,$O20,1)*IF($M20&gt;0,$M20,1)*IF($K20&gt;0,$K20,1)*IF($Q20&gt;0,$Q20,1)*IF($S20&gt;0,$S20,1)*IF($U20&gt;0,$U20,1)*IF($W20&gt;0,$W20,1)*IF($Y20&gt;0,$Y20,1)*(SUMIFS(OFFSET(pop_saúde_suplementar!$C$2:$C$274, 0, AL$14-2017),pop_saúde_suplementar!$A$2:$A$274,controle_formulario!$E$41,pop_saúde_suplementar!$B$2:$B$274,"&gt;="&amp;Populacao!$C20,pop_saúde_suplementar!$B$2:$B$274,"&lt;="&amp;Populacao!$E20) * $G20)</f>
        <v>0</v>
      </c>
      <c r="AM20" s="135"/>
      <c r="AO20" s="141" t="str">
        <f>IF(controle_formulario!$C$39=2,"Ocultar","")</f>
        <v/>
      </c>
      <c r="AQ20" s="136"/>
      <c r="AR20" s="137"/>
      <c r="AS20" s="137"/>
    </row>
    <row r="21" spans="2:45" x14ac:dyDescent="0.3">
      <c r="B21" s="5"/>
      <c r="C21" s="44"/>
      <c r="D21" s="42" t="s">
        <v>39</v>
      </c>
      <c r="E21" s="44"/>
      <c r="F21" s="42"/>
      <c r="G21" s="46"/>
      <c r="H21" s="42"/>
      <c r="I21" s="46"/>
      <c r="J21" s="42"/>
      <c r="K21" s="46"/>
      <c r="L21" s="42"/>
      <c r="M21" s="46"/>
      <c r="N21" s="42"/>
      <c r="O21" s="46"/>
      <c r="P21" s="11"/>
      <c r="Q21" s="46"/>
      <c r="R21" s="11"/>
      <c r="S21" s="46"/>
      <c r="T21" s="11"/>
      <c r="U21" s="46"/>
      <c r="V21" s="11"/>
      <c r="W21" s="46"/>
      <c r="X21" s="11"/>
      <c r="Y21" s="46"/>
      <c r="Z21" s="11"/>
      <c r="AA21" s="143"/>
      <c r="AB21" s="38"/>
      <c r="AC21" s="94">
        <f ca="1">IF($I21&gt;0,$I21,1)*IF($O21&gt;0,$O21,1)*IF($M21&gt;0,$M21,1)*IF($K21&gt;0,$K21,1)*IF($Q21&gt;0,$Q21,1)*IF($S21&gt;0,$S21,1)*IF($U21&gt;0,$U21,1)*IF($W21&gt;0,$W21,1)*IF($Y21&gt;0,$Y21,1)*(SUMIFS(OFFSET(pop_saúde_suplementar!$C$2:$C$274, 0, AC$14-2017),pop_saúde_suplementar!$A$2:$A$274,controle_formulario!$E$41,pop_saúde_suplementar!$B$2:$B$274,"&gt;="&amp;Populacao!$C21,pop_saúde_suplementar!$B$2:$B$274,"&lt;="&amp;Populacao!$E21) * $G21)</f>
        <v>0</v>
      </c>
      <c r="AD21" s="94">
        <f ca="1">IF($I21&gt;0,$I21,1)*IF($O21&gt;0,$O21,1)*IF($M21&gt;0,$M21,1)*IF($K21&gt;0,$K21,1)*IF($Q21&gt;0,$Q21,1)*IF($S21&gt;0,$S21,1)*IF($U21&gt;0,$U21,1)*IF($W21&gt;0,$W21,1)*IF($Y21&gt;0,$Y21,1)*(SUMIFS(OFFSET(pop_saúde_suplementar!$C$2:$C$274, 0, AD$14-2017),pop_saúde_suplementar!$A$2:$A$274,controle_formulario!$E$41,pop_saúde_suplementar!$B$2:$B$274,"&gt;="&amp;Populacao!$C21,pop_saúde_suplementar!$B$2:$B$274,"&lt;="&amp;Populacao!$E21) * $G21)</f>
        <v>0</v>
      </c>
      <c r="AE21" s="94">
        <f ca="1">IF($I21&gt;0,$I21,1)*IF($O21&gt;0,$O21,1)*IF($M21&gt;0,$M21,1)*IF($K21&gt;0,$K21,1)*IF($Q21&gt;0,$Q21,1)*IF($S21&gt;0,$S21,1)*IF($U21&gt;0,$U21,1)*IF($W21&gt;0,$W21,1)*IF($Y21&gt;0,$Y21,1)*(SUMIFS(OFFSET(pop_saúde_suplementar!$C$2:$C$274, 0, AE$14-2017),pop_saúde_suplementar!$A$2:$A$274,controle_formulario!$E$41,pop_saúde_suplementar!$B$2:$B$274,"&gt;="&amp;Populacao!$C21,pop_saúde_suplementar!$B$2:$B$274,"&lt;="&amp;Populacao!$E21) * $G21)</f>
        <v>0</v>
      </c>
      <c r="AF21" s="94">
        <f ca="1">IF($I21&gt;0,$I21,1)*IF($O21&gt;0,$O21,1)*IF($M21&gt;0,$M21,1)*IF($K21&gt;0,$K21,1)*IF($Q21&gt;0,$Q21,1)*IF($S21&gt;0,$S21,1)*IF($U21&gt;0,$U21,1)*IF($W21&gt;0,$W21,1)*IF($Y21&gt;0,$Y21,1)*(SUMIFS(OFFSET(pop_saúde_suplementar!$C$2:$C$274, 0, AF$14-2017),pop_saúde_suplementar!$A$2:$A$274,controle_formulario!$E$41,pop_saúde_suplementar!$B$2:$B$274,"&gt;="&amp;Populacao!$C21,pop_saúde_suplementar!$B$2:$B$274,"&lt;="&amp;Populacao!$E21) * $G21)</f>
        <v>0</v>
      </c>
      <c r="AG21" s="94">
        <f ca="1">IF($I21&gt;0,$I21,1)*IF($O21&gt;0,$O21,1)*IF($M21&gt;0,$M21,1)*IF($K21&gt;0,$K21,1)*IF($Q21&gt;0,$Q21,1)*IF($S21&gt;0,$S21,1)*IF($U21&gt;0,$U21,1)*IF($W21&gt;0,$W21,1)*IF($Y21&gt;0,$Y21,1)*(SUMIFS(OFFSET(pop_saúde_suplementar!$C$2:$C$274, 0, AG$14-2017),pop_saúde_suplementar!$A$2:$A$274,controle_formulario!$E$41,pop_saúde_suplementar!$B$2:$B$274,"&gt;="&amp;Populacao!$C21,pop_saúde_suplementar!$B$2:$B$274,"&lt;="&amp;Populacao!$E21) * $G21)</f>
        <v>0</v>
      </c>
      <c r="AH21" s="94">
        <f ca="1">IF($I21&gt;0,$I21,1)*IF($O21&gt;0,$O21,1)*IF($M21&gt;0,$M21,1)*IF($K21&gt;0,$K21,1)*IF($Q21&gt;0,$Q21,1)*IF($S21&gt;0,$S21,1)*IF($U21&gt;0,$U21,1)*IF($W21&gt;0,$W21,1)*IF($Y21&gt;0,$Y21,1)*(SUMIFS(OFFSET(pop_saúde_suplementar!$C$2:$C$274, 0, AH$14-2017),pop_saúde_suplementar!$A$2:$A$274,controle_formulario!$E$41,pop_saúde_suplementar!$B$2:$B$274,"&gt;="&amp;Populacao!$C21,pop_saúde_suplementar!$B$2:$B$274,"&lt;="&amp;Populacao!$E21) * $G21)</f>
        <v>0</v>
      </c>
      <c r="AI21" s="94">
        <f ca="1">IF($I21&gt;0,$I21,1)*IF($O21&gt;0,$O21,1)*IF($M21&gt;0,$M21,1)*IF($K21&gt;0,$K21,1)*IF($Q21&gt;0,$Q21,1)*IF($S21&gt;0,$S21,1)*IF($U21&gt;0,$U21,1)*IF($W21&gt;0,$W21,1)*IF($Y21&gt;0,$Y21,1)*(SUMIFS(OFFSET(pop_saúde_suplementar!$C$2:$C$274, 0, AI$14-2017),pop_saúde_suplementar!$A$2:$A$274,controle_formulario!$E$41,pop_saúde_suplementar!$B$2:$B$274,"&gt;="&amp;Populacao!$C21,pop_saúde_suplementar!$B$2:$B$274,"&lt;="&amp;Populacao!$E21) * $G21)</f>
        <v>0</v>
      </c>
      <c r="AJ21" s="94">
        <f ca="1">IF($I21&gt;0,$I21,1)*IF($O21&gt;0,$O21,1)*IF($M21&gt;0,$M21,1)*IF($K21&gt;0,$K21,1)*IF($Q21&gt;0,$Q21,1)*IF($S21&gt;0,$S21,1)*IF($U21&gt;0,$U21,1)*IF($W21&gt;0,$W21,1)*IF($Y21&gt;0,$Y21,1)*(SUMIFS(OFFSET(pop_saúde_suplementar!$C$2:$C$274, 0, AJ$14-2017),pop_saúde_suplementar!$A$2:$A$274,controle_formulario!$E$41,pop_saúde_suplementar!$B$2:$B$274,"&gt;="&amp;Populacao!$C21,pop_saúde_suplementar!$B$2:$B$274,"&lt;="&amp;Populacao!$E21) * $G21)</f>
        <v>0</v>
      </c>
      <c r="AK21" s="94">
        <f ca="1">IF($I21&gt;0,$I21,1)*IF($O21&gt;0,$O21,1)*IF($M21&gt;0,$M21,1)*IF($K21&gt;0,$K21,1)*IF($Q21&gt;0,$Q21,1)*IF($S21&gt;0,$S21,1)*IF($U21&gt;0,$U21,1)*IF($W21&gt;0,$W21,1)*IF($Y21&gt;0,$Y21,1)*(SUMIFS(OFFSET(pop_saúde_suplementar!$C$2:$C$274, 0, AK$14-2017),pop_saúde_suplementar!$A$2:$A$274,controle_formulario!$E$41,pop_saúde_suplementar!$B$2:$B$274,"&gt;="&amp;Populacao!$C21,pop_saúde_suplementar!$B$2:$B$274,"&lt;="&amp;Populacao!$E21) * $G21)</f>
        <v>0</v>
      </c>
      <c r="AL21" s="94">
        <f ca="1">IF($I21&gt;0,$I21,1)*IF($O21&gt;0,$O21,1)*IF($M21&gt;0,$M21,1)*IF($K21&gt;0,$K21,1)*IF($Q21&gt;0,$Q21,1)*IF($S21&gt;0,$S21,1)*IF($U21&gt;0,$U21,1)*IF($W21&gt;0,$W21,1)*IF($Y21&gt;0,$Y21,1)*(SUMIFS(OFFSET(pop_saúde_suplementar!$C$2:$C$274, 0, AL$14-2017),pop_saúde_suplementar!$A$2:$A$274,controle_formulario!$E$41,pop_saúde_suplementar!$B$2:$B$274,"&gt;="&amp;Populacao!$C21,pop_saúde_suplementar!$B$2:$B$274,"&lt;="&amp;Populacao!$E21) * $G21)</f>
        <v>0</v>
      </c>
      <c r="AM21" s="6"/>
      <c r="AO21" s="140" t="str">
        <f>IF(controle_formulario!$C$39=2,"Ocultar","")</f>
        <v/>
      </c>
      <c r="AQ21" s="109"/>
      <c r="AR21" s="33"/>
      <c r="AS21" s="33"/>
    </row>
    <row r="22" spans="2:45" x14ac:dyDescent="0.3">
      <c r="B22" s="5"/>
      <c r="C22" s="44"/>
      <c r="D22" s="42" t="s">
        <v>39</v>
      </c>
      <c r="E22" s="44"/>
      <c r="F22" s="42"/>
      <c r="G22" s="46"/>
      <c r="H22" s="42"/>
      <c r="I22" s="46"/>
      <c r="J22" s="42"/>
      <c r="K22" s="46"/>
      <c r="L22" s="42"/>
      <c r="M22" s="46"/>
      <c r="N22" s="42"/>
      <c r="O22" s="46"/>
      <c r="P22" s="11"/>
      <c r="Q22" s="46"/>
      <c r="R22" s="11"/>
      <c r="S22" s="46"/>
      <c r="T22" s="11"/>
      <c r="U22" s="46"/>
      <c r="V22" s="11"/>
      <c r="W22" s="46"/>
      <c r="X22" s="11"/>
      <c r="Y22" s="46"/>
      <c r="Z22" s="11"/>
      <c r="AA22" s="143"/>
      <c r="AB22" s="38"/>
      <c r="AC22" s="94">
        <f ca="1">IF($I22&gt;0,$I22,1)*IF($O22&gt;0,$O22,1)*IF($M22&gt;0,$M22,1)*IF($K22&gt;0,$K22,1)*IF($Q22&gt;0,$Q22,1)*IF($S22&gt;0,$S22,1)*IF($U22&gt;0,$U22,1)*IF($W22&gt;0,$W22,1)*IF($Y22&gt;0,$Y22,1)*(SUMIFS(OFFSET(pop_saúde_suplementar!$C$2:$C$274, 0, AC$14-2017),pop_saúde_suplementar!$A$2:$A$274,controle_formulario!$E$41,pop_saúde_suplementar!$B$2:$B$274,"&gt;="&amp;Populacao!$C22,pop_saúde_suplementar!$B$2:$B$274,"&lt;="&amp;Populacao!$E22) * $G22)</f>
        <v>0</v>
      </c>
      <c r="AD22" s="94">
        <f ca="1">IF($I22&gt;0,$I22,1)*IF($O22&gt;0,$O22,1)*IF($M22&gt;0,$M22,1)*IF($K22&gt;0,$K22,1)*IF($Q22&gt;0,$Q22,1)*IF($S22&gt;0,$S22,1)*IF($U22&gt;0,$U22,1)*IF($W22&gt;0,$W22,1)*IF($Y22&gt;0,$Y22,1)*(SUMIFS(OFFSET(pop_saúde_suplementar!$C$2:$C$274, 0, AD$14-2017),pop_saúde_suplementar!$A$2:$A$274,controle_formulario!$E$41,pop_saúde_suplementar!$B$2:$B$274,"&gt;="&amp;Populacao!$C22,pop_saúde_suplementar!$B$2:$B$274,"&lt;="&amp;Populacao!$E22) * $G22)</f>
        <v>0</v>
      </c>
      <c r="AE22" s="94">
        <f ca="1">IF($I22&gt;0,$I22,1)*IF($O22&gt;0,$O22,1)*IF($M22&gt;0,$M22,1)*IF($K22&gt;0,$K22,1)*IF($Q22&gt;0,$Q22,1)*IF($S22&gt;0,$S22,1)*IF($U22&gt;0,$U22,1)*IF($W22&gt;0,$W22,1)*IF($Y22&gt;0,$Y22,1)*(SUMIFS(OFFSET(pop_saúde_suplementar!$C$2:$C$274, 0, AE$14-2017),pop_saúde_suplementar!$A$2:$A$274,controle_formulario!$E$41,pop_saúde_suplementar!$B$2:$B$274,"&gt;="&amp;Populacao!$C22,pop_saúde_suplementar!$B$2:$B$274,"&lt;="&amp;Populacao!$E22) * $G22)</f>
        <v>0</v>
      </c>
      <c r="AF22" s="94">
        <f ca="1">IF($I22&gt;0,$I22,1)*IF($O22&gt;0,$O22,1)*IF($M22&gt;0,$M22,1)*IF($K22&gt;0,$K22,1)*IF($Q22&gt;0,$Q22,1)*IF($S22&gt;0,$S22,1)*IF($U22&gt;0,$U22,1)*IF($W22&gt;0,$W22,1)*IF($Y22&gt;0,$Y22,1)*(SUMIFS(OFFSET(pop_saúde_suplementar!$C$2:$C$274, 0, AF$14-2017),pop_saúde_suplementar!$A$2:$A$274,controle_formulario!$E$41,pop_saúde_suplementar!$B$2:$B$274,"&gt;="&amp;Populacao!$C22,pop_saúde_suplementar!$B$2:$B$274,"&lt;="&amp;Populacao!$E22) * $G22)</f>
        <v>0</v>
      </c>
      <c r="AG22" s="94">
        <f ca="1">IF($I22&gt;0,$I22,1)*IF($O22&gt;0,$O22,1)*IF($M22&gt;0,$M22,1)*IF($K22&gt;0,$K22,1)*IF($Q22&gt;0,$Q22,1)*IF($S22&gt;0,$S22,1)*IF($U22&gt;0,$U22,1)*IF($W22&gt;0,$W22,1)*IF($Y22&gt;0,$Y22,1)*(SUMIFS(OFFSET(pop_saúde_suplementar!$C$2:$C$274, 0, AG$14-2017),pop_saúde_suplementar!$A$2:$A$274,controle_formulario!$E$41,pop_saúde_suplementar!$B$2:$B$274,"&gt;="&amp;Populacao!$C22,pop_saúde_suplementar!$B$2:$B$274,"&lt;="&amp;Populacao!$E22) * $G22)</f>
        <v>0</v>
      </c>
      <c r="AH22" s="94">
        <f ca="1">IF($I22&gt;0,$I22,1)*IF($O22&gt;0,$O22,1)*IF($M22&gt;0,$M22,1)*IF($K22&gt;0,$K22,1)*IF($Q22&gt;0,$Q22,1)*IF($S22&gt;0,$S22,1)*IF($U22&gt;0,$U22,1)*IF($W22&gt;0,$W22,1)*IF($Y22&gt;0,$Y22,1)*(SUMIFS(OFFSET(pop_saúde_suplementar!$C$2:$C$274, 0, AH$14-2017),pop_saúde_suplementar!$A$2:$A$274,controle_formulario!$E$41,pop_saúde_suplementar!$B$2:$B$274,"&gt;="&amp;Populacao!$C22,pop_saúde_suplementar!$B$2:$B$274,"&lt;="&amp;Populacao!$E22) * $G22)</f>
        <v>0</v>
      </c>
      <c r="AI22" s="94">
        <f ca="1">IF($I22&gt;0,$I22,1)*IF($O22&gt;0,$O22,1)*IF($M22&gt;0,$M22,1)*IF($K22&gt;0,$K22,1)*IF($Q22&gt;0,$Q22,1)*IF($S22&gt;0,$S22,1)*IF($U22&gt;0,$U22,1)*IF($W22&gt;0,$W22,1)*IF($Y22&gt;0,$Y22,1)*(SUMIFS(OFFSET(pop_saúde_suplementar!$C$2:$C$274, 0, AI$14-2017),pop_saúde_suplementar!$A$2:$A$274,controle_formulario!$E$41,pop_saúde_suplementar!$B$2:$B$274,"&gt;="&amp;Populacao!$C22,pop_saúde_suplementar!$B$2:$B$274,"&lt;="&amp;Populacao!$E22) * $G22)</f>
        <v>0</v>
      </c>
      <c r="AJ22" s="94">
        <f ca="1">IF($I22&gt;0,$I22,1)*IF($O22&gt;0,$O22,1)*IF($M22&gt;0,$M22,1)*IF($K22&gt;0,$K22,1)*IF($Q22&gt;0,$Q22,1)*IF($S22&gt;0,$S22,1)*IF($U22&gt;0,$U22,1)*IF($W22&gt;0,$W22,1)*IF($Y22&gt;0,$Y22,1)*(SUMIFS(OFFSET(pop_saúde_suplementar!$C$2:$C$274, 0, AJ$14-2017),pop_saúde_suplementar!$A$2:$A$274,controle_formulario!$E$41,pop_saúde_suplementar!$B$2:$B$274,"&gt;="&amp;Populacao!$C22,pop_saúde_suplementar!$B$2:$B$274,"&lt;="&amp;Populacao!$E22) * $G22)</f>
        <v>0</v>
      </c>
      <c r="AK22" s="94">
        <f ca="1">IF($I22&gt;0,$I22,1)*IF($O22&gt;0,$O22,1)*IF($M22&gt;0,$M22,1)*IF($K22&gt;0,$K22,1)*IF($Q22&gt;0,$Q22,1)*IF($S22&gt;0,$S22,1)*IF($U22&gt;0,$U22,1)*IF($W22&gt;0,$W22,1)*IF($Y22&gt;0,$Y22,1)*(SUMIFS(OFFSET(pop_saúde_suplementar!$C$2:$C$274, 0, AK$14-2017),pop_saúde_suplementar!$A$2:$A$274,controle_formulario!$E$41,pop_saúde_suplementar!$B$2:$B$274,"&gt;="&amp;Populacao!$C22,pop_saúde_suplementar!$B$2:$B$274,"&lt;="&amp;Populacao!$E22) * $G22)</f>
        <v>0</v>
      </c>
      <c r="AL22" s="94">
        <f ca="1">IF($I22&gt;0,$I22,1)*IF($O22&gt;0,$O22,1)*IF($M22&gt;0,$M22,1)*IF($K22&gt;0,$K22,1)*IF($Q22&gt;0,$Q22,1)*IF($S22&gt;0,$S22,1)*IF($U22&gt;0,$U22,1)*IF($W22&gt;0,$W22,1)*IF($Y22&gt;0,$Y22,1)*(SUMIFS(OFFSET(pop_saúde_suplementar!$C$2:$C$274, 0, AL$14-2017),pop_saúde_suplementar!$A$2:$A$274,controle_formulario!$E$41,pop_saúde_suplementar!$B$2:$B$274,"&gt;="&amp;Populacao!$C22,pop_saúde_suplementar!$B$2:$B$274,"&lt;="&amp;Populacao!$E22) * $G22)</f>
        <v>0</v>
      </c>
      <c r="AM22" s="6"/>
      <c r="AO22" s="140" t="str">
        <f>IF(controle_formulario!$C$39=2,"Ocultar","")</f>
        <v/>
      </c>
      <c r="AQ22" s="109"/>
      <c r="AR22" s="33"/>
      <c r="AS22" s="33"/>
    </row>
    <row r="23" spans="2:45" x14ac:dyDescent="0.3">
      <c r="B23" s="5"/>
      <c r="C23" s="44"/>
      <c r="D23" s="42" t="s">
        <v>39</v>
      </c>
      <c r="E23" s="44"/>
      <c r="F23" s="42"/>
      <c r="G23" s="46"/>
      <c r="H23" s="42"/>
      <c r="I23" s="46"/>
      <c r="J23" s="42"/>
      <c r="K23" s="46"/>
      <c r="L23" s="42"/>
      <c r="M23" s="46"/>
      <c r="N23" s="42"/>
      <c r="O23" s="46"/>
      <c r="P23" s="11"/>
      <c r="Q23" s="46"/>
      <c r="R23" s="11"/>
      <c r="S23" s="46"/>
      <c r="T23" s="11"/>
      <c r="U23" s="46"/>
      <c r="V23" s="11"/>
      <c r="W23" s="46"/>
      <c r="X23" s="11"/>
      <c r="Y23" s="46"/>
      <c r="Z23" s="11"/>
      <c r="AA23" s="143"/>
      <c r="AB23" s="38"/>
      <c r="AC23" s="94">
        <f ca="1">IF($I23&gt;0,$I23,1)*IF($O23&gt;0,$O23,1)*IF($M23&gt;0,$M23,1)*IF($K23&gt;0,$K23,1)*IF($Q23&gt;0,$Q23,1)*IF($S23&gt;0,$S23,1)*IF($U23&gt;0,$U23,1)*IF($W23&gt;0,$W23,1)*IF($Y23&gt;0,$Y23,1)*(SUMIFS(OFFSET(pop_saúde_suplementar!$C$2:$C$274, 0, AC$14-2017),pop_saúde_suplementar!$A$2:$A$274,controle_formulario!$E$41,pop_saúde_suplementar!$B$2:$B$274,"&gt;="&amp;Populacao!$C23,pop_saúde_suplementar!$B$2:$B$274,"&lt;="&amp;Populacao!$E23) * $G23)</f>
        <v>0</v>
      </c>
      <c r="AD23" s="94">
        <f ca="1">IF($I23&gt;0,$I23,1)*IF($O23&gt;0,$O23,1)*IF($M23&gt;0,$M23,1)*IF($K23&gt;0,$K23,1)*IF($Q23&gt;0,$Q23,1)*IF($S23&gt;0,$S23,1)*IF($U23&gt;0,$U23,1)*IF($W23&gt;0,$W23,1)*IF($Y23&gt;0,$Y23,1)*(SUMIFS(OFFSET(pop_saúde_suplementar!$C$2:$C$274, 0, AD$14-2017),pop_saúde_suplementar!$A$2:$A$274,controle_formulario!$E$41,pop_saúde_suplementar!$B$2:$B$274,"&gt;="&amp;Populacao!$C23,pop_saúde_suplementar!$B$2:$B$274,"&lt;="&amp;Populacao!$E23) * $G23)</f>
        <v>0</v>
      </c>
      <c r="AE23" s="94">
        <f ca="1">IF($I23&gt;0,$I23,1)*IF($O23&gt;0,$O23,1)*IF($M23&gt;0,$M23,1)*IF($K23&gt;0,$K23,1)*IF($Q23&gt;0,$Q23,1)*IF($S23&gt;0,$S23,1)*IF($U23&gt;0,$U23,1)*IF($W23&gt;0,$W23,1)*IF($Y23&gt;0,$Y23,1)*(SUMIFS(OFFSET(pop_saúde_suplementar!$C$2:$C$274, 0, AE$14-2017),pop_saúde_suplementar!$A$2:$A$274,controle_formulario!$E$41,pop_saúde_suplementar!$B$2:$B$274,"&gt;="&amp;Populacao!$C23,pop_saúde_suplementar!$B$2:$B$274,"&lt;="&amp;Populacao!$E23) * $G23)</f>
        <v>0</v>
      </c>
      <c r="AF23" s="94">
        <f ca="1">IF($I23&gt;0,$I23,1)*IF($O23&gt;0,$O23,1)*IF($M23&gt;0,$M23,1)*IF($K23&gt;0,$K23,1)*IF($Q23&gt;0,$Q23,1)*IF($S23&gt;0,$S23,1)*IF($U23&gt;0,$U23,1)*IF($W23&gt;0,$W23,1)*IF($Y23&gt;0,$Y23,1)*(SUMIFS(OFFSET(pop_saúde_suplementar!$C$2:$C$274, 0, AF$14-2017),pop_saúde_suplementar!$A$2:$A$274,controle_formulario!$E$41,pop_saúde_suplementar!$B$2:$B$274,"&gt;="&amp;Populacao!$C23,pop_saúde_suplementar!$B$2:$B$274,"&lt;="&amp;Populacao!$E23) * $G23)</f>
        <v>0</v>
      </c>
      <c r="AG23" s="94">
        <f ca="1">IF($I23&gt;0,$I23,1)*IF($O23&gt;0,$O23,1)*IF($M23&gt;0,$M23,1)*IF($K23&gt;0,$K23,1)*IF($Q23&gt;0,$Q23,1)*IF($S23&gt;0,$S23,1)*IF($U23&gt;0,$U23,1)*IF($W23&gt;0,$W23,1)*IF($Y23&gt;0,$Y23,1)*(SUMIFS(OFFSET(pop_saúde_suplementar!$C$2:$C$274, 0, AG$14-2017),pop_saúde_suplementar!$A$2:$A$274,controle_formulario!$E$41,pop_saúde_suplementar!$B$2:$B$274,"&gt;="&amp;Populacao!$C23,pop_saúde_suplementar!$B$2:$B$274,"&lt;="&amp;Populacao!$E23) * $G23)</f>
        <v>0</v>
      </c>
      <c r="AH23" s="94">
        <f ca="1">IF($I23&gt;0,$I23,1)*IF($O23&gt;0,$O23,1)*IF($M23&gt;0,$M23,1)*IF($K23&gt;0,$K23,1)*IF($Q23&gt;0,$Q23,1)*IF($S23&gt;0,$S23,1)*IF($U23&gt;0,$U23,1)*IF($W23&gt;0,$W23,1)*IF($Y23&gt;0,$Y23,1)*(SUMIFS(OFFSET(pop_saúde_suplementar!$C$2:$C$274, 0, AH$14-2017),pop_saúde_suplementar!$A$2:$A$274,controle_formulario!$E$41,pop_saúde_suplementar!$B$2:$B$274,"&gt;="&amp;Populacao!$C23,pop_saúde_suplementar!$B$2:$B$274,"&lt;="&amp;Populacao!$E23) * $G23)</f>
        <v>0</v>
      </c>
      <c r="AI23" s="94">
        <f ca="1">IF($I23&gt;0,$I23,1)*IF($O23&gt;0,$O23,1)*IF($M23&gt;0,$M23,1)*IF($K23&gt;0,$K23,1)*IF($Q23&gt;0,$Q23,1)*IF($S23&gt;0,$S23,1)*IF($U23&gt;0,$U23,1)*IF($W23&gt;0,$W23,1)*IF($Y23&gt;0,$Y23,1)*(SUMIFS(OFFSET(pop_saúde_suplementar!$C$2:$C$274, 0, AI$14-2017),pop_saúde_suplementar!$A$2:$A$274,controle_formulario!$E$41,pop_saúde_suplementar!$B$2:$B$274,"&gt;="&amp;Populacao!$C23,pop_saúde_suplementar!$B$2:$B$274,"&lt;="&amp;Populacao!$E23) * $G23)</f>
        <v>0</v>
      </c>
      <c r="AJ23" s="94">
        <f ca="1">IF($I23&gt;0,$I23,1)*IF($O23&gt;0,$O23,1)*IF($M23&gt;0,$M23,1)*IF($K23&gt;0,$K23,1)*IF($Q23&gt;0,$Q23,1)*IF($S23&gt;0,$S23,1)*IF($U23&gt;0,$U23,1)*IF($W23&gt;0,$W23,1)*IF($Y23&gt;0,$Y23,1)*(SUMIFS(OFFSET(pop_saúde_suplementar!$C$2:$C$274, 0, AJ$14-2017),pop_saúde_suplementar!$A$2:$A$274,controle_formulario!$E$41,pop_saúde_suplementar!$B$2:$B$274,"&gt;="&amp;Populacao!$C23,pop_saúde_suplementar!$B$2:$B$274,"&lt;="&amp;Populacao!$E23) * $G23)</f>
        <v>0</v>
      </c>
      <c r="AK23" s="94">
        <f ca="1">IF($I23&gt;0,$I23,1)*IF($O23&gt;0,$O23,1)*IF($M23&gt;0,$M23,1)*IF($K23&gt;0,$K23,1)*IF($Q23&gt;0,$Q23,1)*IF($S23&gt;0,$S23,1)*IF($U23&gt;0,$U23,1)*IF($W23&gt;0,$W23,1)*IF($Y23&gt;0,$Y23,1)*(SUMIFS(OFFSET(pop_saúde_suplementar!$C$2:$C$274, 0, AK$14-2017),pop_saúde_suplementar!$A$2:$A$274,controle_formulario!$E$41,pop_saúde_suplementar!$B$2:$B$274,"&gt;="&amp;Populacao!$C23,pop_saúde_suplementar!$B$2:$B$274,"&lt;="&amp;Populacao!$E23) * $G23)</f>
        <v>0</v>
      </c>
      <c r="AL23" s="94">
        <f ca="1">IF($I23&gt;0,$I23,1)*IF($O23&gt;0,$O23,1)*IF($M23&gt;0,$M23,1)*IF($K23&gt;0,$K23,1)*IF($Q23&gt;0,$Q23,1)*IF($S23&gt;0,$S23,1)*IF($U23&gt;0,$U23,1)*IF($W23&gt;0,$W23,1)*IF($Y23&gt;0,$Y23,1)*(SUMIFS(OFFSET(pop_saúde_suplementar!$C$2:$C$274, 0, AL$14-2017),pop_saúde_suplementar!$A$2:$A$274,controle_formulario!$E$41,pop_saúde_suplementar!$B$2:$B$274,"&gt;="&amp;Populacao!$C23,pop_saúde_suplementar!$B$2:$B$274,"&lt;="&amp;Populacao!$E23) * $G23)</f>
        <v>0</v>
      </c>
      <c r="AM23" s="6"/>
      <c r="AO23" s="140" t="str">
        <f>IF(controle_formulario!$C$39=2,"Ocultar","")</f>
        <v/>
      </c>
      <c r="AQ23" s="109"/>
      <c r="AR23" s="33"/>
      <c r="AS23" s="33"/>
    </row>
    <row r="24" spans="2:45" x14ac:dyDescent="0.3">
      <c r="B24" s="5"/>
      <c r="C24" s="44"/>
      <c r="D24" s="42" t="s">
        <v>39</v>
      </c>
      <c r="E24" s="44"/>
      <c r="F24" s="42"/>
      <c r="G24" s="46"/>
      <c r="H24" s="42"/>
      <c r="I24" s="46"/>
      <c r="J24" s="42"/>
      <c r="K24" s="46"/>
      <c r="L24" s="42"/>
      <c r="M24" s="46"/>
      <c r="N24" s="42"/>
      <c r="O24" s="46"/>
      <c r="P24" s="11"/>
      <c r="Q24" s="46"/>
      <c r="R24" s="11"/>
      <c r="S24" s="46"/>
      <c r="T24" s="11"/>
      <c r="U24" s="46"/>
      <c r="V24" s="11"/>
      <c r="W24" s="46"/>
      <c r="X24" s="11"/>
      <c r="Y24" s="46"/>
      <c r="Z24" s="11"/>
      <c r="AA24" s="143"/>
      <c r="AB24" s="38"/>
      <c r="AC24" s="94">
        <f ca="1">IF($I24&gt;0,$I24,1)*IF($O24&gt;0,$O24,1)*IF($M24&gt;0,$M24,1)*IF($K24&gt;0,$K24,1)*IF($Q24&gt;0,$Q24,1)*IF($S24&gt;0,$S24,1)*IF($U24&gt;0,$U24,1)*IF($W24&gt;0,$W24,1)*IF($Y24&gt;0,$Y24,1)*(SUMIFS(OFFSET(pop_saúde_suplementar!$C$2:$C$274, 0, AC$14-2017),pop_saúde_suplementar!$A$2:$A$274,controle_formulario!$E$41,pop_saúde_suplementar!$B$2:$B$274,"&gt;="&amp;Populacao!$C24,pop_saúde_suplementar!$B$2:$B$274,"&lt;="&amp;Populacao!$E24) * $G24)</f>
        <v>0</v>
      </c>
      <c r="AD24" s="94">
        <f ca="1">IF($I24&gt;0,$I24,1)*IF($O24&gt;0,$O24,1)*IF($M24&gt;0,$M24,1)*IF($K24&gt;0,$K24,1)*IF($Q24&gt;0,$Q24,1)*IF($S24&gt;0,$S24,1)*IF($U24&gt;0,$U24,1)*IF($W24&gt;0,$W24,1)*IF($Y24&gt;0,$Y24,1)*(SUMIFS(OFFSET(pop_saúde_suplementar!$C$2:$C$274, 0, AD$14-2017),pop_saúde_suplementar!$A$2:$A$274,controle_formulario!$E$41,pop_saúde_suplementar!$B$2:$B$274,"&gt;="&amp;Populacao!$C24,pop_saúde_suplementar!$B$2:$B$274,"&lt;="&amp;Populacao!$E24) * $G24)</f>
        <v>0</v>
      </c>
      <c r="AE24" s="94">
        <f ca="1">IF($I24&gt;0,$I24,1)*IF($O24&gt;0,$O24,1)*IF($M24&gt;0,$M24,1)*IF($K24&gt;0,$K24,1)*IF($Q24&gt;0,$Q24,1)*IF($S24&gt;0,$S24,1)*IF($U24&gt;0,$U24,1)*IF($W24&gt;0,$W24,1)*IF($Y24&gt;0,$Y24,1)*(SUMIFS(OFFSET(pop_saúde_suplementar!$C$2:$C$274, 0, AE$14-2017),pop_saúde_suplementar!$A$2:$A$274,controle_formulario!$E$41,pop_saúde_suplementar!$B$2:$B$274,"&gt;="&amp;Populacao!$C24,pop_saúde_suplementar!$B$2:$B$274,"&lt;="&amp;Populacao!$E24) * $G24)</f>
        <v>0</v>
      </c>
      <c r="AF24" s="94">
        <f ca="1">IF($I24&gt;0,$I24,1)*IF($O24&gt;0,$O24,1)*IF($M24&gt;0,$M24,1)*IF($K24&gt;0,$K24,1)*IF($Q24&gt;0,$Q24,1)*IF($S24&gt;0,$S24,1)*IF($U24&gt;0,$U24,1)*IF($W24&gt;0,$W24,1)*IF($Y24&gt;0,$Y24,1)*(SUMIFS(OFFSET(pop_saúde_suplementar!$C$2:$C$274, 0, AF$14-2017),pop_saúde_suplementar!$A$2:$A$274,controle_formulario!$E$41,pop_saúde_suplementar!$B$2:$B$274,"&gt;="&amp;Populacao!$C24,pop_saúde_suplementar!$B$2:$B$274,"&lt;="&amp;Populacao!$E24) * $G24)</f>
        <v>0</v>
      </c>
      <c r="AG24" s="94">
        <f ca="1">IF($I24&gt;0,$I24,1)*IF($O24&gt;0,$O24,1)*IF($M24&gt;0,$M24,1)*IF($K24&gt;0,$K24,1)*IF($Q24&gt;0,$Q24,1)*IF($S24&gt;0,$S24,1)*IF($U24&gt;0,$U24,1)*IF($W24&gt;0,$W24,1)*IF($Y24&gt;0,$Y24,1)*(SUMIFS(OFFSET(pop_saúde_suplementar!$C$2:$C$274, 0, AG$14-2017),pop_saúde_suplementar!$A$2:$A$274,controle_formulario!$E$41,pop_saúde_suplementar!$B$2:$B$274,"&gt;="&amp;Populacao!$C24,pop_saúde_suplementar!$B$2:$B$274,"&lt;="&amp;Populacao!$E24) * $G24)</f>
        <v>0</v>
      </c>
      <c r="AH24" s="94">
        <f ca="1">IF($I24&gt;0,$I24,1)*IF($O24&gt;0,$O24,1)*IF($M24&gt;0,$M24,1)*IF($K24&gt;0,$K24,1)*IF($Q24&gt;0,$Q24,1)*IF($S24&gt;0,$S24,1)*IF($U24&gt;0,$U24,1)*IF($W24&gt;0,$W24,1)*IF($Y24&gt;0,$Y24,1)*(SUMIFS(OFFSET(pop_saúde_suplementar!$C$2:$C$274, 0, AH$14-2017),pop_saúde_suplementar!$A$2:$A$274,controle_formulario!$E$41,pop_saúde_suplementar!$B$2:$B$274,"&gt;="&amp;Populacao!$C24,pop_saúde_suplementar!$B$2:$B$274,"&lt;="&amp;Populacao!$E24) * $G24)</f>
        <v>0</v>
      </c>
      <c r="AI24" s="94">
        <f ca="1">IF($I24&gt;0,$I24,1)*IF($O24&gt;0,$O24,1)*IF($M24&gt;0,$M24,1)*IF($K24&gt;0,$K24,1)*IF($Q24&gt;0,$Q24,1)*IF($S24&gt;0,$S24,1)*IF($U24&gt;0,$U24,1)*IF($W24&gt;0,$W24,1)*IF($Y24&gt;0,$Y24,1)*(SUMIFS(OFFSET(pop_saúde_suplementar!$C$2:$C$274, 0, AI$14-2017),pop_saúde_suplementar!$A$2:$A$274,controle_formulario!$E$41,pop_saúde_suplementar!$B$2:$B$274,"&gt;="&amp;Populacao!$C24,pop_saúde_suplementar!$B$2:$B$274,"&lt;="&amp;Populacao!$E24) * $G24)</f>
        <v>0</v>
      </c>
      <c r="AJ24" s="94">
        <f ca="1">IF($I24&gt;0,$I24,1)*IF($O24&gt;0,$O24,1)*IF($M24&gt;0,$M24,1)*IF($K24&gt;0,$K24,1)*IF($Q24&gt;0,$Q24,1)*IF($S24&gt;0,$S24,1)*IF($U24&gt;0,$U24,1)*IF($W24&gt;0,$W24,1)*IF($Y24&gt;0,$Y24,1)*(SUMIFS(OFFSET(pop_saúde_suplementar!$C$2:$C$274, 0, AJ$14-2017),pop_saúde_suplementar!$A$2:$A$274,controle_formulario!$E$41,pop_saúde_suplementar!$B$2:$B$274,"&gt;="&amp;Populacao!$C24,pop_saúde_suplementar!$B$2:$B$274,"&lt;="&amp;Populacao!$E24) * $G24)</f>
        <v>0</v>
      </c>
      <c r="AK24" s="94">
        <f ca="1">IF($I24&gt;0,$I24,1)*IF($O24&gt;0,$O24,1)*IF($M24&gt;0,$M24,1)*IF($K24&gt;0,$K24,1)*IF($Q24&gt;0,$Q24,1)*IF($S24&gt;0,$S24,1)*IF($U24&gt;0,$U24,1)*IF($W24&gt;0,$W24,1)*IF($Y24&gt;0,$Y24,1)*(SUMIFS(OFFSET(pop_saúde_suplementar!$C$2:$C$274, 0, AK$14-2017),pop_saúde_suplementar!$A$2:$A$274,controle_formulario!$E$41,pop_saúde_suplementar!$B$2:$B$274,"&gt;="&amp;Populacao!$C24,pop_saúde_suplementar!$B$2:$B$274,"&lt;="&amp;Populacao!$E24) * $G24)</f>
        <v>0</v>
      </c>
      <c r="AL24" s="94">
        <f ca="1">IF($I24&gt;0,$I24,1)*IF($O24&gt;0,$O24,1)*IF($M24&gt;0,$M24,1)*IF($K24&gt;0,$K24,1)*IF($Q24&gt;0,$Q24,1)*IF($S24&gt;0,$S24,1)*IF($U24&gt;0,$U24,1)*IF($W24&gt;0,$W24,1)*IF($Y24&gt;0,$Y24,1)*(SUMIFS(OFFSET(pop_saúde_suplementar!$C$2:$C$274, 0, AL$14-2017),pop_saúde_suplementar!$A$2:$A$274,controle_formulario!$E$41,pop_saúde_suplementar!$B$2:$B$274,"&gt;="&amp;Populacao!$C24,pop_saúde_suplementar!$B$2:$B$274,"&lt;="&amp;Populacao!$E24) * $G24)</f>
        <v>0</v>
      </c>
      <c r="AM24" s="6"/>
      <c r="AO24" s="140" t="str">
        <f>IF(controle_formulario!$C$39=2,"Ocultar","")</f>
        <v/>
      </c>
      <c r="AQ24" s="109"/>
      <c r="AR24" s="33"/>
      <c r="AS24" s="33"/>
    </row>
    <row r="25" spans="2:45" x14ac:dyDescent="0.3">
      <c r="B25" s="5"/>
      <c r="C25" s="44"/>
      <c r="D25" s="42" t="s">
        <v>39</v>
      </c>
      <c r="E25" s="44"/>
      <c r="F25" s="42"/>
      <c r="G25" s="46"/>
      <c r="H25" s="42"/>
      <c r="I25" s="46"/>
      <c r="J25" s="42"/>
      <c r="K25" s="46"/>
      <c r="L25" s="42"/>
      <c r="M25" s="46"/>
      <c r="N25" s="42"/>
      <c r="O25" s="46"/>
      <c r="P25" s="11"/>
      <c r="Q25" s="46"/>
      <c r="R25" s="11"/>
      <c r="S25" s="46"/>
      <c r="T25" s="11"/>
      <c r="U25" s="46"/>
      <c r="V25" s="11"/>
      <c r="W25" s="46"/>
      <c r="X25" s="11"/>
      <c r="Y25" s="46"/>
      <c r="Z25" s="11"/>
      <c r="AA25" s="143"/>
      <c r="AB25" s="38"/>
      <c r="AC25" s="94">
        <f ca="1">IF($I25&gt;0,$I25,1)*IF($O25&gt;0,$O25,1)*IF($M25&gt;0,$M25,1)*IF($K25&gt;0,$K25,1)*IF($Q25&gt;0,$Q25,1)*IF($S25&gt;0,$S25,1)*IF($U25&gt;0,$U25,1)*IF($W25&gt;0,$W25,1)*IF($Y25&gt;0,$Y25,1)*(SUMIFS(OFFSET(pop_saúde_suplementar!$C$2:$C$274, 0, AC$14-2017),pop_saúde_suplementar!$A$2:$A$274,controle_formulario!$E$41,pop_saúde_suplementar!$B$2:$B$274,"&gt;="&amp;Populacao!$C25,pop_saúde_suplementar!$B$2:$B$274,"&lt;="&amp;Populacao!$E25) * $G25)</f>
        <v>0</v>
      </c>
      <c r="AD25" s="94">
        <f ca="1">IF($I25&gt;0,$I25,1)*IF($O25&gt;0,$O25,1)*IF($M25&gt;0,$M25,1)*IF($K25&gt;0,$K25,1)*IF($Q25&gt;0,$Q25,1)*IF($S25&gt;0,$S25,1)*IF($U25&gt;0,$U25,1)*IF($W25&gt;0,$W25,1)*IF($Y25&gt;0,$Y25,1)*(SUMIFS(OFFSET(pop_saúde_suplementar!$C$2:$C$274, 0, AD$14-2017),pop_saúde_suplementar!$A$2:$A$274,controle_formulario!$E$41,pop_saúde_suplementar!$B$2:$B$274,"&gt;="&amp;Populacao!$C25,pop_saúde_suplementar!$B$2:$B$274,"&lt;="&amp;Populacao!$E25) * $G25)</f>
        <v>0</v>
      </c>
      <c r="AE25" s="94">
        <f ca="1">IF($I25&gt;0,$I25,1)*IF($O25&gt;0,$O25,1)*IF($M25&gt;0,$M25,1)*IF($K25&gt;0,$K25,1)*IF($Q25&gt;0,$Q25,1)*IF($S25&gt;0,$S25,1)*IF($U25&gt;0,$U25,1)*IF($W25&gt;0,$W25,1)*IF($Y25&gt;0,$Y25,1)*(SUMIFS(OFFSET(pop_saúde_suplementar!$C$2:$C$274, 0, AE$14-2017),pop_saúde_suplementar!$A$2:$A$274,controle_formulario!$E$41,pop_saúde_suplementar!$B$2:$B$274,"&gt;="&amp;Populacao!$C25,pop_saúde_suplementar!$B$2:$B$274,"&lt;="&amp;Populacao!$E25) * $G25)</f>
        <v>0</v>
      </c>
      <c r="AF25" s="94">
        <f ca="1">IF($I25&gt;0,$I25,1)*IF($O25&gt;0,$O25,1)*IF($M25&gt;0,$M25,1)*IF($K25&gt;0,$K25,1)*IF($Q25&gt;0,$Q25,1)*IF($S25&gt;0,$S25,1)*IF($U25&gt;0,$U25,1)*IF($W25&gt;0,$W25,1)*IF($Y25&gt;0,$Y25,1)*(SUMIFS(OFFSET(pop_saúde_suplementar!$C$2:$C$274, 0, AF$14-2017),pop_saúde_suplementar!$A$2:$A$274,controle_formulario!$E$41,pop_saúde_suplementar!$B$2:$B$274,"&gt;="&amp;Populacao!$C25,pop_saúde_suplementar!$B$2:$B$274,"&lt;="&amp;Populacao!$E25) * $G25)</f>
        <v>0</v>
      </c>
      <c r="AG25" s="94">
        <f ca="1">IF($I25&gt;0,$I25,1)*IF($O25&gt;0,$O25,1)*IF($M25&gt;0,$M25,1)*IF($K25&gt;0,$K25,1)*IF($Q25&gt;0,$Q25,1)*IF($S25&gt;0,$S25,1)*IF($U25&gt;0,$U25,1)*IF($W25&gt;0,$W25,1)*IF($Y25&gt;0,$Y25,1)*(SUMIFS(OFFSET(pop_saúde_suplementar!$C$2:$C$274, 0, AG$14-2017),pop_saúde_suplementar!$A$2:$A$274,controle_formulario!$E$41,pop_saúde_suplementar!$B$2:$B$274,"&gt;="&amp;Populacao!$C25,pop_saúde_suplementar!$B$2:$B$274,"&lt;="&amp;Populacao!$E25) * $G25)</f>
        <v>0</v>
      </c>
      <c r="AH25" s="94">
        <f ca="1">IF($I25&gt;0,$I25,1)*IF($O25&gt;0,$O25,1)*IF($M25&gt;0,$M25,1)*IF($K25&gt;0,$K25,1)*IF($Q25&gt;0,$Q25,1)*IF($S25&gt;0,$S25,1)*IF($U25&gt;0,$U25,1)*IF($W25&gt;0,$W25,1)*IF($Y25&gt;0,$Y25,1)*(SUMIFS(OFFSET(pop_saúde_suplementar!$C$2:$C$274, 0, AH$14-2017),pop_saúde_suplementar!$A$2:$A$274,controle_formulario!$E$41,pop_saúde_suplementar!$B$2:$B$274,"&gt;="&amp;Populacao!$C25,pop_saúde_suplementar!$B$2:$B$274,"&lt;="&amp;Populacao!$E25) * $G25)</f>
        <v>0</v>
      </c>
      <c r="AI25" s="94">
        <f ca="1">IF($I25&gt;0,$I25,1)*IF($O25&gt;0,$O25,1)*IF($M25&gt;0,$M25,1)*IF($K25&gt;0,$K25,1)*IF($Q25&gt;0,$Q25,1)*IF($S25&gt;0,$S25,1)*IF($U25&gt;0,$U25,1)*IF($W25&gt;0,$W25,1)*IF($Y25&gt;0,$Y25,1)*(SUMIFS(OFFSET(pop_saúde_suplementar!$C$2:$C$274, 0, AI$14-2017),pop_saúde_suplementar!$A$2:$A$274,controle_formulario!$E$41,pop_saúde_suplementar!$B$2:$B$274,"&gt;="&amp;Populacao!$C25,pop_saúde_suplementar!$B$2:$B$274,"&lt;="&amp;Populacao!$E25) * $G25)</f>
        <v>0</v>
      </c>
      <c r="AJ25" s="94">
        <f ca="1">IF($I25&gt;0,$I25,1)*IF($O25&gt;0,$O25,1)*IF($M25&gt;0,$M25,1)*IF($K25&gt;0,$K25,1)*IF($Q25&gt;0,$Q25,1)*IF($S25&gt;0,$S25,1)*IF($U25&gt;0,$U25,1)*IF($W25&gt;0,$W25,1)*IF($Y25&gt;0,$Y25,1)*(SUMIFS(OFFSET(pop_saúde_suplementar!$C$2:$C$274, 0, AJ$14-2017),pop_saúde_suplementar!$A$2:$A$274,controle_formulario!$E$41,pop_saúde_suplementar!$B$2:$B$274,"&gt;="&amp;Populacao!$C25,pop_saúde_suplementar!$B$2:$B$274,"&lt;="&amp;Populacao!$E25) * $G25)</f>
        <v>0</v>
      </c>
      <c r="AK25" s="94">
        <f ca="1">IF($I25&gt;0,$I25,1)*IF($O25&gt;0,$O25,1)*IF($M25&gt;0,$M25,1)*IF($K25&gt;0,$K25,1)*IF($Q25&gt;0,$Q25,1)*IF($S25&gt;0,$S25,1)*IF($U25&gt;0,$U25,1)*IF($W25&gt;0,$W25,1)*IF($Y25&gt;0,$Y25,1)*(SUMIFS(OFFSET(pop_saúde_suplementar!$C$2:$C$274, 0, AK$14-2017),pop_saúde_suplementar!$A$2:$A$274,controle_formulario!$E$41,pop_saúde_suplementar!$B$2:$B$274,"&gt;="&amp;Populacao!$C25,pop_saúde_suplementar!$B$2:$B$274,"&lt;="&amp;Populacao!$E25) * $G25)</f>
        <v>0</v>
      </c>
      <c r="AL25" s="94">
        <f ca="1">IF($I25&gt;0,$I25,1)*IF($O25&gt;0,$O25,1)*IF($M25&gt;0,$M25,1)*IF($K25&gt;0,$K25,1)*IF($Q25&gt;0,$Q25,1)*IF($S25&gt;0,$S25,1)*IF($U25&gt;0,$U25,1)*IF($W25&gt;0,$W25,1)*IF($Y25&gt;0,$Y25,1)*(SUMIFS(OFFSET(pop_saúde_suplementar!$C$2:$C$274, 0, AL$14-2017),pop_saúde_suplementar!$A$2:$A$274,controle_formulario!$E$41,pop_saúde_suplementar!$B$2:$B$274,"&gt;="&amp;Populacao!$C25,pop_saúde_suplementar!$B$2:$B$274,"&lt;="&amp;Populacao!$E25) * $G25)</f>
        <v>0</v>
      </c>
      <c r="AM25" s="6"/>
      <c r="AO25" s="140" t="str">
        <f>IF(controle_formulario!$C$39=2,"Ocultar","")</f>
        <v/>
      </c>
      <c r="AQ25" s="109"/>
      <c r="AR25" s="33"/>
      <c r="AS25" s="33"/>
    </row>
    <row r="26" spans="2:45" ht="4.5" customHeight="1" x14ac:dyDescent="0.3">
      <c r="B26" s="5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3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6"/>
      <c r="AO26" s="140" t="str">
        <f>IF(controle_formulario!$C$39=2,"Ocultar","")</f>
        <v/>
      </c>
      <c r="AQ26" s="109"/>
      <c r="AR26" s="33"/>
      <c r="AS26" s="33"/>
    </row>
    <row r="27" spans="2:45" x14ac:dyDescent="0.3">
      <c r="B27" s="5"/>
      <c r="H27" s="11"/>
      <c r="L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C27" s="226">
        <f t="shared" ref="AC27:AL27" ca="1" si="1">SUM(AC16:AC25)</f>
        <v>35.902021176061034</v>
      </c>
      <c r="AD27" s="27">
        <f t="shared" ca="1" si="1"/>
        <v>36.027114594978322</v>
      </c>
      <c r="AE27" s="27">
        <f t="shared" ca="1" si="1"/>
        <v>36.142742272880319</v>
      </c>
      <c r="AF27" s="27">
        <f t="shared" ca="1" si="1"/>
        <v>36.250027878529522</v>
      </c>
      <c r="AG27" s="27">
        <f t="shared" ca="1" si="1"/>
        <v>36.350592396534239</v>
      </c>
      <c r="AH27" s="27">
        <f t="shared" ca="1" si="1"/>
        <v>36.444300512344562</v>
      </c>
      <c r="AI27" s="27">
        <f t="shared" ca="1" si="1"/>
        <v>36.530413575917358</v>
      </c>
      <c r="AJ27" s="27">
        <f t="shared" ca="1" si="1"/>
        <v>36.609633269918717</v>
      </c>
      <c r="AK27" s="27">
        <f t="shared" ca="1" si="1"/>
        <v>36.683234620107676</v>
      </c>
      <c r="AL27" s="27">
        <f t="shared" ca="1" si="1"/>
        <v>36.750027695442164</v>
      </c>
      <c r="AM27" s="227"/>
      <c r="AO27" s="140" t="str">
        <f>IF(controle_formulario!$C$39=2,"Ocultar","")</f>
        <v/>
      </c>
      <c r="AQ27" s="109"/>
    </row>
    <row r="28" spans="2:45" x14ac:dyDescent="0.3">
      <c r="B28" s="5"/>
      <c r="L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232">
        <f>AM27/5</f>
        <v>0</v>
      </c>
      <c r="AO28" s="140" t="str">
        <f>IF(controle_formulario!$C$39=2,"Ocultar","")</f>
        <v/>
      </c>
      <c r="AQ28" s="109"/>
    </row>
    <row r="29" spans="2:45" ht="6.75" hidden="1" customHeight="1" x14ac:dyDescent="0.3">
      <c r="B29" s="5"/>
      <c r="C29" s="1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M29" s="6"/>
      <c r="AO29" s="140" t="str">
        <f>IF(OR(controle_formulario!$C$39=2,controle_formulario!$E$40=3),"Ocultar","")</f>
        <v>Ocultar</v>
      </c>
      <c r="AQ29" s="109"/>
    </row>
    <row r="30" spans="2:45" hidden="1" x14ac:dyDescent="0.3">
      <c r="B30" s="5"/>
      <c r="C30" t="s">
        <v>42</v>
      </c>
      <c r="D30" t="str">
        <f>IF(controle_formulario!$E$40=1,controle_formulario!$E$38,IF(controle_formulario!$E$40=2,controle_formulario!$E$37, "Omitido"))</f>
        <v>Omitido</v>
      </c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M30" s="6"/>
      <c r="AO30" s="140" t="str">
        <f>IF(OR(controle_formulario!$C$39=2,controle_formulario!$E$40=3),"Ocultar","")</f>
        <v>Ocultar</v>
      </c>
      <c r="AQ30" s="109"/>
    </row>
    <row r="31" spans="2:45" hidden="1" x14ac:dyDescent="0.3">
      <c r="B31" s="5"/>
      <c r="G31" s="302" t="s">
        <v>57</v>
      </c>
      <c r="H31" s="302"/>
      <c r="I31" s="302"/>
      <c r="J31" s="302"/>
      <c r="K31" s="302"/>
      <c r="L31" s="302"/>
      <c r="M31" s="302"/>
      <c r="N31" s="302"/>
      <c r="O31" s="302"/>
      <c r="P31" s="302"/>
      <c r="Q31" s="302"/>
      <c r="R31" s="302"/>
      <c r="S31" s="302"/>
      <c r="T31" s="302"/>
      <c r="U31" s="302"/>
      <c r="V31" s="302"/>
      <c r="W31" s="302"/>
      <c r="X31" s="302"/>
      <c r="Y31" s="302"/>
      <c r="AC31" s="26" t="s">
        <v>7</v>
      </c>
      <c r="AD31" s="26" t="s">
        <v>8</v>
      </c>
      <c r="AE31" s="26" t="s">
        <v>9</v>
      </c>
      <c r="AF31" s="26" t="s">
        <v>10</v>
      </c>
      <c r="AG31" s="26" t="s">
        <v>11</v>
      </c>
      <c r="AH31" s="26" t="s">
        <v>12</v>
      </c>
      <c r="AI31" s="26" t="s">
        <v>13</v>
      </c>
      <c r="AJ31" s="26" t="s">
        <v>14</v>
      </c>
      <c r="AK31" s="26" t="s">
        <v>15</v>
      </c>
      <c r="AL31" s="26" t="s">
        <v>16</v>
      </c>
      <c r="AM31" s="6"/>
      <c r="AO31" s="140" t="str">
        <f>IF(OR(controle_formulario!$C$39=2,controle_formulario!$E$40=3),"Ocultar","")</f>
        <v>Ocultar</v>
      </c>
      <c r="AQ31" s="109"/>
    </row>
    <row r="32" spans="2:45" hidden="1" x14ac:dyDescent="0.3">
      <c r="B32" s="5"/>
      <c r="C32" s="306" t="s">
        <v>38</v>
      </c>
      <c r="D32" s="306"/>
      <c r="E32" s="306"/>
      <c r="F32" s="11"/>
      <c r="G32" s="138" t="s">
        <v>94</v>
      </c>
      <c r="H32" s="11"/>
      <c r="I32" s="138" t="s">
        <v>98</v>
      </c>
      <c r="J32" s="11"/>
      <c r="K32" s="138" t="s">
        <v>97</v>
      </c>
      <c r="L32" s="106"/>
      <c r="M32" s="138" t="s">
        <v>96</v>
      </c>
      <c r="N32" s="106"/>
      <c r="O32" s="138" t="s">
        <v>95</v>
      </c>
      <c r="P32" s="11"/>
      <c r="Q32" s="138" t="s">
        <v>110</v>
      </c>
      <c r="R32" s="11"/>
      <c r="S32" s="138" t="s">
        <v>111</v>
      </c>
      <c r="T32" s="11"/>
      <c r="U32" s="138" t="s">
        <v>112</v>
      </c>
      <c r="V32" s="11"/>
      <c r="W32" s="138" t="s">
        <v>113</v>
      </c>
      <c r="X32" s="11"/>
      <c r="Y32" s="138" t="s">
        <v>114</v>
      </c>
      <c r="Z32" s="11"/>
      <c r="AA32" s="11"/>
      <c r="AB32" s="11"/>
      <c r="AC32" s="24">
        <f>Criterios!$C$31</f>
        <v>2026</v>
      </c>
      <c r="AD32" s="24">
        <f t="shared" ref="AD32:AL32" si="2">AC32+1</f>
        <v>2027</v>
      </c>
      <c r="AE32" s="24">
        <f t="shared" si="2"/>
        <v>2028</v>
      </c>
      <c r="AF32" s="24">
        <f t="shared" si="2"/>
        <v>2029</v>
      </c>
      <c r="AG32" s="24">
        <f t="shared" si="2"/>
        <v>2030</v>
      </c>
      <c r="AH32" s="24">
        <f t="shared" si="2"/>
        <v>2031</v>
      </c>
      <c r="AI32" s="24">
        <f t="shared" si="2"/>
        <v>2032</v>
      </c>
      <c r="AJ32" s="24">
        <f t="shared" si="2"/>
        <v>2033</v>
      </c>
      <c r="AK32" s="24">
        <f t="shared" si="2"/>
        <v>2034</v>
      </c>
      <c r="AL32" s="24">
        <f t="shared" si="2"/>
        <v>2035</v>
      </c>
      <c r="AM32" s="6"/>
      <c r="AO32" s="140" t="str">
        <f>IF(OR(controle_formulario!$C$39=2,controle_formulario!$E$40=3),"Ocultar","")</f>
        <v>Ocultar</v>
      </c>
      <c r="AQ32" s="109"/>
    </row>
    <row r="33" spans="2:45" ht="5.0999999999999996" hidden="1" customHeight="1" x14ac:dyDescent="0.3">
      <c r="B33" s="5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6"/>
      <c r="AO33" s="140" t="str">
        <f>IF(OR(controle_formulario!$C$39=2,controle_formulario!$E$40=3),"Ocultar","")</f>
        <v>Ocultar</v>
      </c>
      <c r="AQ33" s="109"/>
    </row>
    <row r="34" spans="2:45" hidden="1" x14ac:dyDescent="0.3">
      <c r="B34" s="5"/>
      <c r="C34" s="44"/>
      <c r="D34" s="42" t="s">
        <v>39</v>
      </c>
      <c r="E34" s="44"/>
      <c r="F34" s="42"/>
      <c r="G34" s="46"/>
      <c r="H34" s="42"/>
      <c r="I34" s="46"/>
      <c r="J34" s="42"/>
      <c r="K34" s="46"/>
      <c r="L34" s="42"/>
      <c r="M34" s="46"/>
      <c r="N34" s="42"/>
      <c r="O34" s="46"/>
      <c r="P34" s="11"/>
      <c r="Q34" s="46"/>
      <c r="R34" s="11"/>
      <c r="S34" s="46"/>
      <c r="T34" s="11"/>
      <c r="U34" s="46"/>
      <c r="V34" s="11"/>
      <c r="W34" s="46"/>
      <c r="X34" s="11"/>
      <c r="Y34" s="46"/>
      <c r="Z34" s="11"/>
      <c r="AA34" s="11"/>
      <c r="AB34" s="25"/>
      <c r="AC34" s="94">
        <f ca="1">IF($I34&gt;0,$I34,1)*IF($O34&gt;0,$O34,1)*IF($M34&gt;0,$M34,1)*IF($K34&gt;0,$K34,1)*IF($Q34&gt;0,$Q34,1)*IF($S34&gt;0,$S34,1)*IF($U34&gt;0,$U34,1)*IF($W34&gt;0,$W34,1)*IF($Y34&gt;0,$Y34,1)*(SUMIFS(OFFSET(pop_saúde_suplementar!$C$2:$C$274, 0, AC$14-2017),pop_saúde_suplementar!$A$2:$A$274,controle_formulario!$F$38,pop_saúde_suplementar!$B$2:$B$274,"&gt;="&amp;Populacao!$C34,pop_saúde_suplementar!$B$2:$B$274,"&lt;="&amp;Populacao!$E34) * $G34)</f>
        <v>0</v>
      </c>
      <c r="AD34" s="94">
        <f ca="1">IF($I34&gt;0,$I34,1)*IF($O34&gt;0,$O34,1)*IF($M34&gt;0,$M34,1)*IF($K34&gt;0,$K34,1)*IF($Q34&gt;0,$Q34,1)*IF($S34&gt;0,$S34,1)*IF($U34&gt;0,$U34,1)*IF($W34&gt;0,$W34,1)*IF($Y34&gt;0,$Y34,1)*(SUMIFS(OFFSET(pop_saúde_suplementar!$C$2:$C$274, 0, AD$14-2017),pop_saúde_suplementar!$A$2:$A$274,controle_formulario!$F$38,pop_saúde_suplementar!$B$2:$B$274,"&gt;="&amp;Populacao!$C34,pop_saúde_suplementar!$B$2:$B$274,"&lt;="&amp;Populacao!$E34) * $G34)</f>
        <v>0</v>
      </c>
      <c r="AE34" s="94">
        <f ca="1">IF($I34&gt;0,$I34,1)*IF($O34&gt;0,$O34,1)*IF($M34&gt;0,$M34,1)*IF($K34&gt;0,$K34,1)*IF($Q34&gt;0,$Q34,1)*IF($S34&gt;0,$S34,1)*IF($U34&gt;0,$U34,1)*IF($W34&gt;0,$W34,1)*IF($Y34&gt;0,$Y34,1)*(SUMIFS(OFFSET(pop_saúde_suplementar!$C$2:$C$274, 0, AE$14-2017),pop_saúde_suplementar!$A$2:$A$274,controle_formulario!$F$38,pop_saúde_suplementar!$B$2:$B$274,"&gt;="&amp;Populacao!$C34,pop_saúde_suplementar!$B$2:$B$274,"&lt;="&amp;Populacao!$E34) * $G34)</f>
        <v>0</v>
      </c>
      <c r="AF34" s="94">
        <f ca="1">IF($I34&gt;0,$I34,1)*IF($O34&gt;0,$O34,1)*IF($M34&gt;0,$M34,1)*IF($K34&gt;0,$K34,1)*IF($Q34&gt;0,$Q34,1)*IF($S34&gt;0,$S34,1)*IF($U34&gt;0,$U34,1)*IF($W34&gt;0,$W34,1)*IF($Y34&gt;0,$Y34,1)*(SUMIFS(OFFSET(pop_saúde_suplementar!$C$2:$C$274, 0, AF$14-2017),pop_saúde_suplementar!$A$2:$A$274,controle_formulario!$F$38,pop_saúde_suplementar!$B$2:$B$274,"&gt;="&amp;Populacao!$C34,pop_saúde_suplementar!$B$2:$B$274,"&lt;="&amp;Populacao!$E34) * $G34)</f>
        <v>0</v>
      </c>
      <c r="AG34" s="94">
        <f ca="1">IF($I34&gt;0,$I34,1)*IF($O34&gt;0,$O34,1)*IF($M34&gt;0,$M34,1)*IF($K34&gt;0,$K34,1)*IF($Q34&gt;0,$Q34,1)*IF($S34&gt;0,$S34,1)*IF($U34&gt;0,$U34,1)*IF($W34&gt;0,$W34,1)*IF($Y34&gt;0,$Y34,1)*(SUMIFS(OFFSET(pop_saúde_suplementar!$C$2:$C$274, 0, AG$14-2017),pop_saúde_suplementar!$A$2:$A$274,controle_formulario!$F$38,pop_saúde_suplementar!$B$2:$B$274,"&gt;="&amp;Populacao!$C34,pop_saúde_suplementar!$B$2:$B$274,"&lt;="&amp;Populacao!$E34) * $G34)</f>
        <v>0</v>
      </c>
      <c r="AH34" s="94">
        <f ca="1">IF($I34&gt;0,$I34,1)*IF($O34&gt;0,$O34,1)*IF($M34&gt;0,$M34,1)*IF($K34&gt;0,$K34,1)*IF($Q34&gt;0,$Q34,1)*IF($S34&gt;0,$S34,1)*IF($U34&gt;0,$U34,1)*IF($W34&gt;0,$W34,1)*IF($Y34&gt;0,$Y34,1)*(SUMIFS(OFFSET(pop_saúde_suplementar!$C$2:$C$274, 0, AH$14-2017),pop_saúde_suplementar!$A$2:$A$274,controle_formulario!$F$38,pop_saúde_suplementar!$B$2:$B$274,"&gt;="&amp;Populacao!$C34,pop_saúde_suplementar!$B$2:$B$274,"&lt;="&amp;Populacao!$E34) * $G34)</f>
        <v>0</v>
      </c>
      <c r="AI34" s="94">
        <f ca="1">IF($I34&gt;0,$I34,1)*IF($O34&gt;0,$O34,1)*IF($M34&gt;0,$M34,1)*IF($K34&gt;0,$K34,1)*IF($Q34&gt;0,$Q34,1)*IF($S34&gt;0,$S34,1)*IF($U34&gt;0,$U34,1)*IF($W34&gt;0,$W34,1)*IF($Y34&gt;0,$Y34,1)*(SUMIFS(OFFSET(pop_saúde_suplementar!$C$2:$C$274, 0, AI$14-2017),pop_saúde_suplementar!$A$2:$A$274,controle_formulario!$F$38,pop_saúde_suplementar!$B$2:$B$274,"&gt;="&amp;Populacao!$C34,pop_saúde_suplementar!$B$2:$B$274,"&lt;="&amp;Populacao!$E34) * $G34)</f>
        <v>0</v>
      </c>
      <c r="AJ34" s="94">
        <f ca="1">IF($I34&gt;0,$I34,1)*IF($O34&gt;0,$O34,1)*IF($M34&gt;0,$M34,1)*IF($K34&gt;0,$K34,1)*IF($Q34&gt;0,$Q34,1)*IF($S34&gt;0,$S34,1)*IF($U34&gt;0,$U34,1)*IF($W34&gt;0,$W34,1)*IF($Y34&gt;0,$Y34,1)*(SUMIFS(OFFSET(pop_saúde_suplementar!$C$2:$C$274, 0, AJ$14-2017),pop_saúde_suplementar!$A$2:$A$274,controle_formulario!$F$38,pop_saúde_suplementar!$B$2:$B$274,"&gt;="&amp;Populacao!$C34,pop_saúde_suplementar!$B$2:$B$274,"&lt;="&amp;Populacao!$E34) * $G34)</f>
        <v>0</v>
      </c>
      <c r="AK34" s="94">
        <f ca="1">IF($I34&gt;0,$I34,1)*IF($O34&gt;0,$O34,1)*IF($M34&gt;0,$M34,1)*IF($K34&gt;0,$K34,1)*IF($Q34&gt;0,$Q34,1)*IF($S34&gt;0,$S34,1)*IF($U34&gt;0,$U34,1)*IF($W34&gt;0,$W34,1)*IF($Y34&gt;0,$Y34,1)*(SUMIFS(OFFSET(pop_saúde_suplementar!$C$2:$C$274, 0, AK$14-2017),pop_saúde_suplementar!$A$2:$A$274,controle_formulario!$F$38,pop_saúde_suplementar!$B$2:$B$274,"&gt;="&amp;Populacao!$C34,pop_saúde_suplementar!$B$2:$B$274,"&lt;="&amp;Populacao!$E34) * $G34)</f>
        <v>0</v>
      </c>
      <c r="AL34" s="94">
        <f ca="1">IF($I34&gt;0,$I34,1)*IF($O34&gt;0,$O34,1)*IF($M34&gt;0,$M34,1)*IF($K34&gt;0,$K34,1)*IF($Q34&gt;0,$Q34,1)*IF($S34&gt;0,$S34,1)*IF($U34&gt;0,$U34,1)*IF($W34&gt;0,$W34,1)*IF($Y34&gt;0,$Y34,1)*(SUMIFS(OFFSET(pop_saúde_suplementar!$C$2:$C$274, 0, AL$14-2017),pop_saúde_suplementar!$A$2:$A$274,controle_formulario!$F$38,pop_saúde_suplementar!$B$2:$B$274,"&gt;="&amp;Populacao!$C34,pop_saúde_suplementar!$B$2:$B$274,"&lt;="&amp;Populacao!$E34) * $G34)</f>
        <v>0</v>
      </c>
      <c r="AM34" s="6"/>
      <c r="AO34" s="140" t="str">
        <f>IF(OR(controle_formulario!$C$39=2,controle_formulario!$E$40=3),"Ocultar","")</f>
        <v>Ocultar</v>
      </c>
      <c r="AP34" s="34"/>
      <c r="AQ34" s="109"/>
      <c r="AR34" s="33"/>
      <c r="AS34" s="33"/>
    </row>
    <row r="35" spans="2:45" hidden="1" x14ac:dyDescent="0.3">
      <c r="B35" s="5"/>
      <c r="C35" s="44"/>
      <c r="D35" s="42" t="s">
        <v>39</v>
      </c>
      <c r="E35" s="44"/>
      <c r="F35" s="42"/>
      <c r="G35" s="46"/>
      <c r="H35" s="42"/>
      <c r="I35" s="46"/>
      <c r="J35" s="42"/>
      <c r="K35" s="46"/>
      <c r="L35" s="42"/>
      <c r="M35" s="46"/>
      <c r="N35" s="42"/>
      <c r="O35" s="46"/>
      <c r="P35" s="11"/>
      <c r="Q35" s="46"/>
      <c r="R35" s="11"/>
      <c r="S35" s="46"/>
      <c r="T35" s="11"/>
      <c r="U35" s="46"/>
      <c r="V35" s="11"/>
      <c r="W35" s="46"/>
      <c r="X35" s="11"/>
      <c r="Y35" s="46"/>
      <c r="Z35" s="11"/>
      <c r="AA35" s="11"/>
      <c r="AB35" s="25"/>
      <c r="AC35" s="94">
        <f ca="1">IF($I35&gt;0,$I35,1)*IF($O35&gt;0,$O35,1)*IF($M35&gt;0,$M35,1)*IF($K35&gt;0,$K35,1)*IF($Q35&gt;0,$Q35,1)*IF($S35&gt;0,$S35,1)*IF($U35&gt;0,$U35,1)*IF($W35&gt;0,$W35,1)*IF($Y35&gt;0,$Y35,1)*(SUMIFS(OFFSET(pop_saúde_suplementar!$C$2:$C$274, 0, AC$14-2017),pop_saúde_suplementar!$A$2:$A$274,controle_formulario!$F$38,pop_saúde_suplementar!$B$2:$B$274,"&gt;="&amp;Populacao!$C35,pop_saúde_suplementar!$B$2:$B$274,"&lt;="&amp;Populacao!$E35) * $G35)</f>
        <v>0</v>
      </c>
      <c r="AD35" s="94">
        <f ca="1">IF($I35&gt;0,$I35,1)*IF($O35&gt;0,$O35,1)*IF($M35&gt;0,$M35,1)*IF($K35&gt;0,$K35,1)*IF($Q35&gt;0,$Q35,1)*IF($S35&gt;0,$S35,1)*IF($U35&gt;0,$U35,1)*IF($W35&gt;0,$W35,1)*IF($Y35&gt;0,$Y35,1)*(SUMIFS(OFFSET(pop_saúde_suplementar!$C$2:$C$274, 0, AD$14-2017),pop_saúde_suplementar!$A$2:$A$274,controle_formulario!$F$38,pop_saúde_suplementar!$B$2:$B$274,"&gt;="&amp;Populacao!$C35,pop_saúde_suplementar!$B$2:$B$274,"&lt;="&amp;Populacao!$E35) * $G35)</f>
        <v>0</v>
      </c>
      <c r="AE35" s="94">
        <f ca="1">IF($I35&gt;0,$I35,1)*IF($O35&gt;0,$O35,1)*IF($M35&gt;0,$M35,1)*IF($K35&gt;0,$K35,1)*IF($Q35&gt;0,$Q35,1)*IF($S35&gt;0,$S35,1)*IF($U35&gt;0,$U35,1)*IF($W35&gt;0,$W35,1)*IF($Y35&gt;0,$Y35,1)*(SUMIFS(OFFSET(pop_saúde_suplementar!$C$2:$C$274, 0, AE$14-2017),pop_saúde_suplementar!$A$2:$A$274,controle_formulario!$F$38,pop_saúde_suplementar!$B$2:$B$274,"&gt;="&amp;Populacao!$C35,pop_saúde_suplementar!$B$2:$B$274,"&lt;="&amp;Populacao!$E35) * $G35)</f>
        <v>0</v>
      </c>
      <c r="AF35" s="94">
        <f ca="1">IF($I35&gt;0,$I35,1)*IF($O35&gt;0,$O35,1)*IF($M35&gt;0,$M35,1)*IF($K35&gt;0,$K35,1)*IF($Q35&gt;0,$Q35,1)*IF($S35&gt;0,$S35,1)*IF($U35&gt;0,$U35,1)*IF($W35&gt;0,$W35,1)*IF($Y35&gt;0,$Y35,1)*(SUMIFS(OFFSET(pop_saúde_suplementar!$C$2:$C$274, 0, AF$14-2017),pop_saúde_suplementar!$A$2:$A$274,controle_formulario!$F$38,pop_saúde_suplementar!$B$2:$B$274,"&gt;="&amp;Populacao!$C35,pop_saúde_suplementar!$B$2:$B$274,"&lt;="&amp;Populacao!$E35) * $G35)</f>
        <v>0</v>
      </c>
      <c r="AG35" s="94">
        <f ca="1">IF($I35&gt;0,$I35,1)*IF($O35&gt;0,$O35,1)*IF($M35&gt;0,$M35,1)*IF($K35&gt;0,$K35,1)*IF($Q35&gt;0,$Q35,1)*IF($S35&gt;0,$S35,1)*IF($U35&gt;0,$U35,1)*IF($W35&gt;0,$W35,1)*IF($Y35&gt;0,$Y35,1)*(SUMIFS(OFFSET(pop_saúde_suplementar!$C$2:$C$274, 0, AG$14-2017),pop_saúde_suplementar!$A$2:$A$274,controle_formulario!$F$38,pop_saúde_suplementar!$B$2:$B$274,"&gt;="&amp;Populacao!$C35,pop_saúde_suplementar!$B$2:$B$274,"&lt;="&amp;Populacao!$E35) * $G35)</f>
        <v>0</v>
      </c>
      <c r="AH35" s="94">
        <f ca="1">IF($I35&gt;0,$I35,1)*IF($O35&gt;0,$O35,1)*IF($M35&gt;0,$M35,1)*IF($K35&gt;0,$K35,1)*IF($Q35&gt;0,$Q35,1)*IF($S35&gt;0,$S35,1)*IF($U35&gt;0,$U35,1)*IF($W35&gt;0,$W35,1)*IF($Y35&gt;0,$Y35,1)*(SUMIFS(OFFSET(pop_saúde_suplementar!$C$2:$C$274, 0, AH$14-2017),pop_saúde_suplementar!$A$2:$A$274,controle_formulario!$F$38,pop_saúde_suplementar!$B$2:$B$274,"&gt;="&amp;Populacao!$C35,pop_saúde_suplementar!$B$2:$B$274,"&lt;="&amp;Populacao!$E35) * $G35)</f>
        <v>0</v>
      </c>
      <c r="AI35" s="94">
        <f ca="1">IF($I35&gt;0,$I35,1)*IF($O35&gt;0,$O35,1)*IF($M35&gt;0,$M35,1)*IF($K35&gt;0,$K35,1)*IF($Q35&gt;0,$Q35,1)*IF($S35&gt;0,$S35,1)*IF($U35&gt;0,$U35,1)*IF($W35&gt;0,$W35,1)*IF($Y35&gt;0,$Y35,1)*(SUMIFS(OFFSET(pop_saúde_suplementar!$C$2:$C$274, 0, AI$14-2017),pop_saúde_suplementar!$A$2:$A$274,controle_formulario!$F$38,pop_saúde_suplementar!$B$2:$B$274,"&gt;="&amp;Populacao!$C35,pop_saúde_suplementar!$B$2:$B$274,"&lt;="&amp;Populacao!$E35) * $G35)</f>
        <v>0</v>
      </c>
      <c r="AJ35" s="94">
        <f ca="1">IF($I35&gt;0,$I35,1)*IF($O35&gt;0,$O35,1)*IF($M35&gt;0,$M35,1)*IF($K35&gt;0,$K35,1)*IF($Q35&gt;0,$Q35,1)*IF($S35&gt;0,$S35,1)*IF($U35&gt;0,$U35,1)*IF($W35&gt;0,$W35,1)*IF($Y35&gt;0,$Y35,1)*(SUMIFS(OFFSET(pop_saúde_suplementar!$C$2:$C$274, 0, AJ$14-2017),pop_saúde_suplementar!$A$2:$A$274,controle_formulario!$F$38,pop_saúde_suplementar!$B$2:$B$274,"&gt;="&amp;Populacao!$C35,pop_saúde_suplementar!$B$2:$B$274,"&lt;="&amp;Populacao!$E35) * $G35)</f>
        <v>0</v>
      </c>
      <c r="AK35" s="94">
        <f ca="1">IF($I35&gt;0,$I35,1)*IF($O35&gt;0,$O35,1)*IF($M35&gt;0,$M35,1)*IF($K35&gt;0,$K35,1)*IF($Q35&gt;0,$Q35,1)*IF($S35&gt;0,$S35,1)*IF($U35&gt;0,$U35,1)*IF($W35&gt;0,$W35,1)*IF($Y35&gt;0,$Y35,1)*(SUMIFS(OFFSET(pop_saúde_suplementar!$C$2:$C$274, 0, AK$14-2017),pop_saúde_suplementar!$A$2:$A$274,controle_formulario!$F$38,pop_saúde_suplementar!$B$2:$B$274,"&gt;="&amp;Populacao!$C35,pop_saúde_suplementar!$B$2:$B$274,"&lt;="&amp;Populacao!$E35) * $G35)</f>
        <v>0</v>
      </c>
      <c r="AL35" s="94">
        <f ca="1">IF($I35&gt;0,$I35,1)*IF($O35&gt;0,$O35,1)*IF($M35&gt;0,$M35,1)*IF($K35&gt;0,$K35,1)*IF($Q35&gt;0,$Q35,1)*IF($S35&gt;0,$S35,1)*IF($U35&gt;0,$U35,1)*IF($W35&gt;0,$W35,1)*IF($Y35&gt;0,$Y35,1)*(SUMIFS(OFFSET(pop_saúde_suplementar!$C$2:$C$274, 0, AL$14-2017),pop_saúde_suplementar!$A$2:$A$274,controle_formulario!$F$38,pop_saúde_suplementar!$B$2:$B$274,"&gt;="&amp;Populacao!$C35,pop_saúde_suplementar!$B$2:$B$274,"&lt;="&amp;Populacao!$E35) * $G35)</f>
        <v>0</v>
      </c>
      <c r="AM35" s="6"/>
      <c r="AO35" s="140" t="str">
        <f>IF(OR(controle_formulario!$C$39=2,controle_formulario!$E$40=3),"Ocultar","")</f>
        <v>Ocultar</v>
      </c>
      <c r="AQ35" s="109"/>
      <c r="AR35" s="33"/>
      <c r="AS35" s="33"/>
    </row>
    <row r="36" spans="2:45" hidden="1" x14ac:dyDescent="0.3">
      <c r="B36" s="5"/>
      <c r="C36" s="44"/>
      <c r="D36" s="42" t="s">
        <v>39</v>
      </c>
      <c r="E36" s="44"/>
      <c r="F36" s="42"/>
      <c r="G36" s="46"/>
      <c r="H36" s="42"/>
      <c r="I36" s="46"/>
      <c r="J36" s="42"/>
      <c r="K36" s="46"/>
      <c r="L36" s="42"/>
      <c r="M36" s="46"/>
      <c r="N36" s="42"/>
      <c r="O36" s="46"/>
      <c r="P36" s="11"/>
      <c r="Q36" s="46"/>
      <c r="R36" s="11"/>
      <c r="S36" s="46"/>
      <c r="T36" s="11"/>
      <c r="U36" s="46"/>
      <c r="V36" s="11"/>
      <c r="W36" s="46"/>
      <c r="X36" s="11"/>
      <c r="Y36" s="46"/>
      <c r="Z36" s="11"/>
      <c r="AA36" s="11"/>
      <c r="AB36" s="25"/>
      <c r="AC36" s="94">
        <f ca="1">IF($I36&gt;0,$I36,1)*IF($O36&gt;0,$O36,1)*IF($M36&gt;0,$M36,1)*IF($K36&gt;0,$K36,1)*IF($Q36&gt;0,$Q36,1)*IF($S36&gt;0,$S36,1)*IF($U36&gt;0,$U36,1)*IF($W36&gt;0,$W36,1)*IF($Y36&gt;0,$Y36,1)*(SUMIFS(OFFSET(pop_saúde_suplementar!$C$2:$C$274, 0, AC$14-2017),pop_saúde_suplementar!$A$2:$A$274,controle_formulario!$F$38,pop_saúde_suplementar!$B$2:$B$274,"&gt;="&amp;Populacao!$C36,pop_saúde_suplementar!$B$2:$B$274,"&lt;="&amp;Populacao!$E36) * $G36)</f>
        <v>0</v>
      </c>
      <c r="AD36" s="94">
        <f ca="1">IF($I36&gt;0,$I36,1)*IF($O36&gt;0,$O36,1)*IF($M36&gt;0,$M36,1)*IF($K36&gt;0,$K36,1)*IF($Q36&gt;0,$Q36,1)*IF($S36&gt;0,$S36,1)*IF($U36&gt;0,$U36,1)*IF($W36&gt;0,$W36,1)*IF($Y36&gt;0,$Y36,1)*(SUMIFS(OFFSET(pop_saúde_suplementar!$C$2:$C$274, 0, AD$14-2017),pop_saúde_suplementar!$A$2:$A$274,controle_formulario!$F$38,pop_saúde_suplementar!$B$2:$B$274,"&gt;="&amp;Populacao!$C36,pop_saúde_suplementar!$B$2:$B$274,"&lt;="&amp;Populacao!$E36) * $G36)</f>
        <v>0</v>
      </c>
      <c r="AE36" s="94">
        <f ca="1">IF($I36&gt;0,$I36,1)*IF($O36&gt;0,$O36,1)*IF($M36&gt;0,$M36,1)*IF($K36&gt;0,$K36,1)*IF($Q36&gt;0,$Q36,1)*IF($S36&gt;0,$S36,1)*IF($U36&gt;0,$U36,1)*IF($W36&gt;0,$W36,1)*IF($Y36&gt;0,$Y36,1)*(SUMIFS(OFFSET(pop_saúde_suplementar!$C$2:$C$274, 0, AE$14-2017),pop_saúde_suplementar!$A$2:$A$274,controle_formulario!$F$38,pop_saúde_suplementar!$B$2:$B$274,"&gt;="&amp;Populacao!$C36,pop_saúde_suplementar!$B$2:$B$274,"&lt;="&amp;Populacao!$E36) * $G36)</f>
        <v>0</v>
      </c>
      <c r="AF36" s="94">
        <f ca="1">IF($I36&gt;0,$I36,1)*IF($O36&gt;0,$O36,1)*IF($M36&gt;0,$M36,1)*IF($K36&gt;0,$K36,1)*IF($Q36&gt;0,$Q36,1)*IF($S36&gt;0,$S36,1)*IF($U36&gt;0,$U36,1)*IF($W36&gt;0,$W36,1)*IF($Y36&gt;0,$Y36,1)*(SUMIFS(OFFSET(pop_saúde_suplementar!$C$2:$C$274, 0, AF$14-2017),pop_saúde_suplementar!$A$2:$A$274,controle_formulario!$F$38,pop_saúde_suplementar!$B$2:$B$274,"&gt;="&amp;Populacao!$C36,pop_saúde_suplementar!$B$2:$B$274,"&lt;="&amp;Populacao!$E36) * $G36)</f>
        <v>0</v>
      </c>
      <c r="AG36" s="94">
        <f ca="1">IF($I36&gt;0,$I36,1)*IF($O36&gt;0,$O36,1)*IF($M36&gt;0,$M36,1)*IF($K36&gt;0,$K36,1)*IF($Q36&gt;0,$Q36,1)*IF($S36&gt;0,$S36,1)*IF($U36&gt;0,$U36,1)*IF($W36&gt;0,$W36,1)*IF($Y36&gt;0,$Y36,1)*(SUMIFS(OFFSET(pop_saúde_suplementar!$C$2:$C$274, 0, AG$14-2017),pop_saúde_suplementar!$A$2:$A$274,controle_formulario!$F$38,pop_saúde_suplementar!$B$2:$B$274,"&gt;="&amp;Populacao!$C36,pop_saúde_suplementar!$B$2:$B$274,"&lt;="&amp;Populacao!$E36) * $G36)</f>
        <v>0</v>
      </c>
      <c r="AH36" s="94">
        <f ca="1">IF($I36&gt;0,$I36,1)*IF($O36&gt;0,$O36,1)*IF($M36&gt;0,$M36,1)*IF($K36&gt;0,$K36,1)*IF($Q36&gt;0,$Q36,1)*IF($S36&gt;0,$S36,1)*IF($U36&gt;0,$U36,1)*IF($W36&gt;0,$W36,1)*IF($Y36&gt;0,$Y36,1)*(SUMIFS(OFFSET(pop_saúde_suplementar!$C$2:$C$274, 0, AH$14-2017),pop_saúde_suplementar!$A$2:$A$274,controle_formulario!$F$38,pop_saúde_suplementar!$B$2:$B$274,"&gt;="&amp;Populacao!$C36,pop_saúde_suplementar!$B$2:$B$274,"&lt;="&amp;Populacao!$E36) * $G36)</f>
        <v>0</v>
      </c>
      <c r="AI36" s="94">
        <f ca="1">IF($I36&gt;0,$I36,1)*IF($O36&gt;0,$O36,1)*IF($M36&gt;0,$M36,1)*IF($K36&gt;0,$K36,1)*IF($Q36&gt;0,$Q36,1)*IF($S36&gt;0,$S36,1)*IF($U36&gt;0,$U36,1)*IF($W36&gt;0,$W36,1)*IF($Y36&gt;0,$Y36,1)*(SUMIFS(OFFSET(pop_saúde_suplementar!$C$2:$C$274, 0, AI$14-2017),pop_saúde_suplementar!$A$2:$A$274,controle_formulario!$F$38,pop_saúde_suplementar!$B$2:$B$274,"&gt;="&amp;Populacao!$C36,pop_saúde_suplementar!$B$2:$B$274,"&lt;="&amp;Populacao!$E36) * $G36)</f>
        <v>0</v>
      </c>
      <c r="AJ36" s="94">
        <f ca="1">IF($I36&gt;0,$I36,1)*IF($O36&gt;0,$O36,1)*IF($M36&gt;0,$M36,1)*IF($K36&gt;0,$K36,1)*IF($Q36&gt;0,$Q36,1)*IF($S36&gt;0,$S36,1)*IF($U36&gt;0,$U36,1)*IF($W36&gt;0,$W36,1)*IF($Y36&gt;0,$Y36,1)*(SUMIFS(OFFSET(pop_saúde_suplementar!$C$2:$C$274, 0, AJ$14-2017),pop_saúde_suplementar!$A$2:$A$274,controle_formulario!$F$38,pop_saúde_suplementar!$B$2:$B$274,"&gt;="&amp;Populacao!$C36,pop_saúde_suplementar!$B$2:$B$274,"&lt;="&amp;Populacao!$E36) * $G36)</f>
        <v>0</v>
      </c>
      <c r="AK36" s="94">
        <f ca="1">IF($I36&gt;0,$I36,1)*IF($O36&gt;0,$O36,1)*IF($M36&gt;0,$M36,1)*IF($K36&gt;0,$K36,1)*IF($Q36&gt;0,$Q36,1)*IF($S36&gt;0,$S36,1)*IF($U36&gt;0,$U36,1)*IF($W36&gt;0,$W36,1)*IF($Y36&gt;0,$Y36,1)*(SUMIFS(OFFSET(pop_saúde_suplementar!$C$2:$C$274, 0, AK$14-2017),pop_saúde_suplementar!$A$2:$A$274,controle_formulario!$F$38,pop_saúde_suplementar!$B$2:$B$274,"&gt;="&amp;Populacao!$C36,pop_saúde_suplementar!$B$2:$B$274,"&lt;="&amp;Populacao!$E36) * $G36)</f>
        <v>0</v>
      </c>
      <c r="AL36" s="94">
        <f ca="1">IF($I36&gt;0,$I36,1)*IF($O36&gt;0,$O36,1)*IF($M36&gt;0,$M36,1)*IF($K36&gt;0,$K36,1)*IF($Q36&gt;0,$Q36,1)*IF($S36&gt;0,$S36,1)*IF($U36&gt;0,$U36,1)*IF($W36&gt;0,$W36,1)*IF($Y36&gt;0,$Y36,1)*(SUMIFS(OFFSET(pop_saúde_suplementar!$C$2:$C$274, 0, AL$14-2017),pop_saúde_suplementar!$A$2:$A$274,controle_formulario!$F$38,pop_saúde_suplementar!$B$2:$B$274,"&gt;="&amp;Populacao!$C36,pop_saúde_suplementar!$B$2:$B$274,"&lt;="&amp;Populacao!$E36) * $G36)</f>
        <v>0</v>
      </c>
      <c r="AM36" s="6"/>
      <c r="AO36" s="140" t="str">
        <f>IF(OR(controle_formulario!$C$39=2,controle_formulario!$E$40=3),"Ocultar","")</f>
        <v>Ocultar</v>
      </c>
      <c r="AQ36" s="109"/>
      <c r="AR36" s="33"/>
      <c r="AS36" s="33"/>
    </row>
    <row r="37" spans="2:45" hidden="1" x14ac:dyDescent="0.3">
      <c r="B37" s="5"/>
      <c r="C37" s="44"/>
      <c r="D37" s="42" t="s">
        <v>39</v>
      </c>
      <c r="E37" s="44"/>
      <c r="F37" s="42"/>
      <c r="G37" s="46"/>
      <c r="H37" s="42"/>
      <c r="I37" s="46"/>
      <c r="J37" s="42"/>
      <c r="K37" s="46"/>
      <c r="L37" s="42"/>
      <c r="M37" s="46"/>
      <c r="N37" s="42"/>
      <c r="O37" s="46"/>
      <c r="P37" s="11"/>
      <c r="Q37" s="46"/>
      <c r="R37" s="11"/>
      <c r="S37" s="46"/>
      <c r="T37" s="11"/>
      <c r="U37" s="46"/>
      <c r="V37" s="11"/>
      <c r="W37" s="46"/>
      <c r="X37" s="11"/>
      <c r="Y37" s="46"/>
      <c r="Z37" s="11"/>
      <c r="AA37" s="11"/>
      <c r="AB37" s="25"/>
      <c r="AC37" s="94">
        <f ca="1">IF($I37&gt;0,$I37,1)*IF($O37&gt;0,$O37,1)*IF($M37&gt;0,$M37,1)*IF($K37&gt;0,$K37,1)*IF($Q37&gt;0,$Q37,1)*IF($S37&gt;0,$S37,1)*IF($U37&gt;0,$U37,1)*IF($W37&gt;0,$W37,1)*IF($Y37&gt;0,$Y37,1)*(SUMIFS(OFFSET(pop_saúde_suplementar!$C$2:$C$274, 0, AC$14-2017),pop_saúde_suplementar!$A$2:$A$274,controle_formulario!$F$38,pop_saúde_suplementar!$B$2:$B$274,"&gt;="&amp;Populacao!$C37,pop_saúde_suplementar!$B$2:$B$274,"&lt;="&amp;Populacao!$E37) * $G37)</f>
        <v>0</v>
      </c>
      <c r="AD37" s="94">
        <f ca="1">IF($I37&gt;0,$I37,1)*IF($O37&gt;0,$O37,1)*IF($M37&gt;0,$M37,1)*IF($K37&gt;0,$K37,1)*IF($Q37&gt;0,$Q37,1)*IF($S37&gt;0,$S37,1)*IF($U37&gt;0,$U37,1)*IF($W37&gt;0,$W37,1)*IF($Y37&gt;0,$Y37,1)*(SUMIFS(OFFSET(pop_saúde_suplementar!$C$2:$C$274, 0, AD$14-2017),pop_saúde_suplementar!$A$2:$A$274,controle_formulario!$F$38,pop_saúde_suplementar!$B$2:$B$274,"&gt;="&amp;Populacao!$C37,pop_saúde_suplementar!$B$2:$B$274,"&lt;="&amp;Populacao!$E37) * $G37)</f>
        <v>0</v>
      </c>
      <c r="AE37" s="94">
        <f ca="1">IF($I37&gt;0,$I37,1)*IF($O37&gt;0,$O37,1)*IF($M37&gt;0,$M37,1)*IF($K37&gt;0,$K37,1)*IF($Q37&gt;0,$Q37,1)*IF($S37&gt;0,$S37,1)*IF($U37&gt;0,$U37,1)*IF($W37&gt;0,$W37,1)*IF($Y37&gt;0,$Y37,1)*(SUMIFS(OFFSET(pop_saúde_suplementar!$C$2:$C$274, 0, AE$14-2017),pop_saúde_suplementar!$A$2:$A$274,controle_formulario!$F$38,pop_saúde_suplementar!$B$2:$B$274,"&gt;="&amp;Populacao!$C37,pop_saúde_suplementar!$B$2:$B$274,"&lt;="&amp;Populacao!$E37) * $G37)</f>
        <v>0</v>
      </c>
      <c r="AF37" s="94">
        <f ca="1">IF($I37&gt;0,$I37,1)*IF($O37&gt;0,$O37,1)*IF($M37&gt;0,$M37,1)*IF($K37&gt;0,$K37,1)*IF($Q37&gt;0,$Q37,1)*IF($S37&gt;0,$S37,1)*IF($U37&gt;0,$U37,1)*IF($W37&gt;0,$W37,1)*IF($Y37&gt;0,$Y37,1)*(SUMIFS(OFFSET(pop_saúde_suplementar!$C$2:$C$274, 0, AF$14-2017),pop_saúde_suplementar!$A$2:$A$274,controle_formulario!$F$38,pop_saúde_suplementar!$B$2:$B$274,"&gt;="&amp;Populacao!$C37,pop_saúde_suplementar!$B$2:$B$274,"&lt;="&amp;Populacao!$E37) * $G37)</f>
        <v>0</v>
      </c>
      <c r="AG37" s="94">
        <f ca="1">IF($I37&gt;0,$I37,1)*IF($O37&gt;0,$O37,1)*IF($M37&gt;0,$M37,1)*IF($K37&gt;0,$K37,1)*IF($Q37&gt;0,$Q37,1)*IF($S37&gt;0,$S37,1)*IF($U37&gt;0,$U37,1)*IF($W37&gt;0,$W37,1)*IF($Y37&gt;0,$Y37,1)*(SUMIFS(OFFSET(pop_saúde_suplementar!$C$2:$C$274, 0, AG$14-2017),pop_saúde_suplementar!$A$2:$A$274,controle_formulario!$F$38,pop_saúde_suplementar!$B$2:$B$274,"&gt;="&amp;Populacao!$C37,pop_saúde_suplementar!$B$2:$B$274,"&lt;="&amp;Populacao!$E37) * $G37)</f>
        <v>0</v>
      </c>
      <c r="AH37" s="94">
        <f ca="1">IF($I37&gt;0,$I37,1)*IF($O37&gt;0,$O37,1)*IF($M37&gt;0,$M37,1)*IF($K37&gt;0,$K37,1)*IF($Q37&gt;0,$Q37,1)*IF($S37&gt;0,$S37,1)*IF($U37&gt;0,$U37,1)*IF($W37&gt;0,$W37,1)*IF($Y37&gt;0,$Y37,1)*(SUMIFS(OFFSET(pop_saúde_suplementar!$C$2:$C$274, 0, AH$14-2017),pop_saúde_suplementar!$A$2:$A$274,controle_formulario!$F$38,pop_saúde_suplementar!$B$2:$B$274,"&gt;="&amp;Populacao!$C37,pop_saúde_suplementar!$B$2:$B$274,"&lt;="&amp;Populacao!$E37) * $G37)</f>
        <v>0</v>
      </c>
      <c r="AI37" s="94">
        <f ca="1">IF($I37&gt;0,$I37,1)*IF($O37&gt;0,$O37,1)*IF($M37&gt;0,$M37,1)*IF($K37&gt;0,$K37,1)*IF($Q37&gt;0,$Q37,1)*IF($S37&gt;0,$S37,1)*IF($U37&gt;0,$U37,1)*IF($W37&gt;0,$W37,1)*IF($Y37&gt;0,$Y37,1)*(SUMIFS(OFFSET(pop_saúde_suplementar!$C$2:$C$274, 0, AI$14-2017),pop_saúde_suplementar!$A$2:$A$274,controle_formulario!$F$38,pop_saúde_suplementar!$B$2:$B$274,"&gt;="&amp;Populacao!$C37,pop_saúde_suplementar!$B$2:$B$274,"&lt;="&amp;Populacao!$E37) * $G37)</f>
        <v>0</v>
      </c>
      <c r="AJ37" s="94">
        <f ca="1">IF($I37&gt;0,$I37,1)*IF($O37&gt;0,$O37,1)*IF($M37&gt;0,$M37,1)*IF($K37&gt;0,$K37,1)*IF($Q37&gt;0,$Q37,1)*IF($S37&gt;0,$S37,1)*IF($U37&gt;0,$U37,1)*IF($W37&gt;0,$W37,1)*IF($Y37&gt;0,$Y37,1)*(SUMIFS(OFFSET(pop_saúde_suplementar!$C$2:$C$274, 0, AJ$14-2017),pop_saúde_suplementar!$A$2:$A$274,controle_formulario!$F$38,pop_saúde_suplementar!$B$2:$B$274,"&gt;="&amp;Populacao!$C37,pop_saúde_suplementar!$B$2:$B$274,"&lt;="&amp;Populacao!$E37) * $G37)</f>
        <v>0</v>
      </c>
      <c r="AK37" s="94">
        <f ca="1">IF($I37&gt;0,$I37,1)*IF($O37&gt;0,$O37,1)*IF($M37&gt;0,$M37,1)*IF($K37&gt;0,$K37,1)*IF($Q37&gt;0,$Q37,1)*IF($S37&gt;0,$S37,1)*IF($U37&gt;0,$U37,1)*IF($W37&gt;0,$W37,1)*IF($Y37&gt;0,$Y37,1)*(SUMIFS(OFFSET(pop_saúde_suplementar!$C$2:$C$274, 0, AK$14-2017),pop_saúde_suplementar!$A$2:$A$274,controle_formulario!$F$38,pop_saúde_suplementar!$B$2:$B$274,"&gt;="&amp;Populacao!$C37,pop_saúde_suplementar!$B$2:$B$274,"&lt;="&amp;Populacao!$E37) * $G37)</f>
        <v>0</v>
      </c>
      <c r="AL37" s="94">
        <f ca="1">IF($I37&gt;0,$I37,1)*IF($O37&gt;0,$O37,1)*IF($M37&gt;0,$M37,1)*IF($K37&gt;0,$K37,1)*IF($Q37&gt;0,$Q37,1)*IF($S37&gt;0,$S37,1)*IF($U37&gt;0,$U37,1)*IF($W37&gt;0,$W37,1)*IF($Y37&gt;0,$Y37,1)*(SUMIFS(OFFSET(pop_saúde_suplementar!$C$2:$C$274, 0, AL$14-2017),pop_saúde_suplementar!$A$2:$A$274,controle_formulario!$F$38,pop_saúde_suplementar!$B$2:$B$274,"&gt;="&amp;Populacao!$C37,pop_saúde_suplementar!$B$2:$B$274,"&lt;="&amp;Populacao!$E37) * $G37)</f>
        <v>0</v>
      </c>
      <c r="AM37" s="6"/>
      <c r="AO37" s="140" t="str">
        <f>IF(OR(controle_formulario!$C$39=2,controle_formulario!$E$40=3),"Ocultar","")</f>
        <v>Ocultar</v>
      </c>
      <c r="AQ37" s="109"/>
      <c r="AR37" s="33"/>
      <c r="AS37" s="33"/>
    </row>
    <row r="38" spans="2:45" hidden="1" x14ac:dyDescent="0.3">
      <c r="B38" s="5"/>
      <c r="C38" s="44"/>
      <c r="D38" s="42" t="s">
        <v>39</v>
      </c>
      <c r="E38" s="44"/>
      <c r="F38" s="42"/>
      <c r="G38" s="46"/>
      <c r="H38" s="42"/>
      <c r="I38" s="46"/>
      <c r="J38" s="42"/>
      <c r="K38" s="46"/>
      <c r="L38" s="42"/>
      <c r="M38" s="46"/>
      <c r="N38" s="42"/>
      <c r="O38" s="46"/>
      <c r="P38" s="11"/>
      <c r="Q38" s="46"/>
      <c r="R38" s="11"/>
      <c r="S38" s="46"/>
      <c r="T38" s="11"/>
      <c r="U38" s="46"/>
      <c r="V38" s="11"/>
      <c r="W38" s="46"/>
      <c r="X38" s="11"/>
      <c r="Y38" s="46"/>
      <c r="Z38" s="11"/>
      <c r="AA38" s="11"/>
      <c r="AB38" s="25"/>
      <c r="AC38" s="94">
        <f ca="1">IF($I38&gt;0,$I38,1)*IF($O38&gt;0,$O38,1)*IF($M38&gt;0,$M38,1)*IF($K38&gt;0,$K38,1)*IF($Q38&gt;0,$Q38,1)*IF($S38&gt;0,$S38,1)*IF($U38&gt;0,$U38,1)*IF($W38&gt;0,$W38,1)*IF($Y38&gt;0,$Y38,1)*(SUMIFS(OFFSET(pop_saúde_suplementar!$C$2:$C$274, 0, AC$14-2017),pop_saúde_suplementar!$A$2:$A$274,controle_formulario!$F$38,pop_saúde_suplementar!$B$2:$B$274,"&gt;="&amp;Populacao!$C38,pop_saúde_suplementar!$B$2:$B$274,"&lt;="&amp;Populacao!$E38) * $G38)</f>
        <v>0</v>
      </c>
      <c r="AD38" s="94">
        <f ca="1">IF($I38&gt;0,$I38,1)*IF($O38&gt;0,$O38,1)*IF($M38&gt;0,$M38,1)*IF($K38&gt;0,$K38,1)*IF($Q38&gt;0,$Q38,1)*IF($S38&gt;0,$S38,1)*IF($U38&gt;0,$U38,1)*IF($W38&gt;0,$W38,1)*IF($Y38&gt;0,$Y38,1)*(SUMIFS(OFFSET(pop_saúde_suplementar!$C$2:$C$274, 0, AD$14-2017),pop_saúde_suplementar!$A$2:$A$274,controle_formulario!$F$38,pop_saúde_suplementar!$B$2:$B$274,"&gt;="&amp;Populacao!$C38,pop_saúde_suplementar!$B$2:$B$274,"&lt;="&amp;Populacao!$E38) * $G38)</f>
        <v>0</v>
      </c>
      <c r="AE38" s="94">
        <f ca="1">IF($I38&gt;0,$I38,1)*IF($O38&gt;0,$O38,1)*IF($M38&gt;0,$M38,1)*IF($K38&gt;0,$K38,1)*IF($Q38&gt;0,$Q38,1)*IF($S38&gt;0,$S38,1)*IF($U38&gt;0,$U38,1)*IF($W38&gt;0,$W38,1)*IF($Y38&gt;0,$Y38,1)*(SUMIFS(OFFSET(pop_saúde_suplementar!$C$2:$C$274, 0, AE$14-2017),pop_saúde_suplementar!$A$2:$A$274,controle_formulario!$F$38,pop_saúde_suplementar!$B$2:$B$274,"&gt;="&amp;Populacao!$C38,pop_saúde_suplementar!$B$2:$B$274,"&lt;="&amp;Populacao!$E38) * $G38)</f>
        <v>0</v>
      </c>
      <c r="AF38" s="94">
        <f ca="1">IF($I38&gt;0,$I38,1)*IF($O38&gt;0,$O38,1)*IF($M38&gt;0,$M38,1)*IF($K38&gt;0,$K38,1)*IF($Q38&gt;0,$Q38,1)*IF($S38&gt;0,$S38,1)*IF($U38&gt;0,$U38,1)*IF($W38&gt;0,$W38,1)*IF($Y38&gt;0,$Y38,1)*(SUMIFS(OFFSET(pop_saúde_suplementar!$C$2:$C$274, 0, AF$14-2017),pop_saúde_suplementar!$A$2:$A$274,controle_formulario!$F$38,pop_saúde_suplementar!$B$2:$B$274,"&gt;="&amp;Populacao!$C38,pop_saúde_suplementar!$B$2:$B$274,"&lt;="&amp;Populacao!$E38) * $G38)</f>
        <v>0</v>
      </c>
      <c r="AG38" s="94">
        <f ca="1">IF($I38&gt;0,$I38,1)*IF($O38&gt;0,$O38,1)*IF($M38&gt;0,$M38,1)*IF($K38&gt;0,$K38,1)*IF($Q38&gt;0,$Q38,1)*IF($S38&gt;0,$S38,1)*IF($U38&gt;0,$U38,1)*IF($W38&gt;0,$W38,1)*IF($Y38&gt;0,$Y38,1)*(SUMIFS(OFFSET(pop_saúde_suplementar!$C$2:$C$274, 0, AG$14-2017),pop_saúde_suplementar!$A$2:$A$274,controle_formulario!$F$38,pop_saúde_suplementar!$B$2:$B$274,"&gt;="&amp;Populacao!$C38,pop_saúde_suplementar!$B$2:$B$274,"&lt;="&amp;Populacao!$E38) * $G38)</f>
        <v>0</v>
      </c>
      <c r="AH38" s="94">
        <f ca="1">IF($I38&gt;0,$I38,1)*IF($O38&gt;0,$O38,1)*IF($M38&gt;0,$M38,1)*IF($K38&gt;0,$K38,1)*IF($Q38&gt;0,$Q38,1)*IF($S38&gt;0,$S38,1)*IF($U38&gt;0,$U38,1)*IF($W38&gt;0,$W38,1)*IF($Y38&gt;0,$Y38,1)*(SUMIFS(OFFSET(pop_saúde_suplementar!$C$2:$C$274, 0, AH$14-2017),pop_saúde_suplementar!$A$2:$A$274,controle_formulario!$F$38,pop_saúde_suplementar!$B$2:$B$274,"&gt;="&amp;Populacao!$C38,pop_saúde_suplementar!$B$2:$B$274,"&lt;="&amp;Populacao!$E38) * $G38)</f>
        <v>0</v>
      </c>
      <c r="AI38" s="94">
        <f ca="1">IF($I38&gt;0,$I38,1)*IF($O38&gt;0,$O38,1)*IF($M38&gt;0,$M38,1)*IF($K38&gt;0,$K38,1)*IF($Q38&gt;0,$Q38,1)*IF($S38&gt;0,$S38,1)*IF($U38&gt;0,$U38,1)*IF($W38&gt;0,$W38,1)*IF($Y38&gt;0,$Y38,1)*(SUMIFS(OFFSET(pop_saúde_suplementar!$C$2:$C$274, 0, AI$14-2017),pop_saúde_suplementar!$A$2:$A$274,controle_formulario!$F$38,pop_saúde_suplementar!$B$2:$B$274,"&gt;="&amp;Populacao!$C38,pop_saúde_suplementar!$B$2:$B$274,"&lt;="&amp;Populacao!$E38) * $G38)</f>
        <v>0</v>
      </c>
      <c r="AJ38" s="94">
        <f ca="1">IF($I38&gt;0,$I38,1)*IF($O38&gt;0,$O38,1)*IF($M38&gt;0,$M38,1)*IF($K38&gt;0,$K38,1)*IF($Q38&gt;0,$Q38,1)*IF($S38&gt;0,$S38,1)*IF($U38&gt;0,$U38,1)*IF($W38&gt;0,$W38,1)*IF($Y38&gt;0,$Y38,1)*(SUMIFS(OFFSET(pop_saúde_suplementar!$C$2:$C$274, 0, AJ$14-2017),pop_saúde_suplementar!$A$2:$A$274,controle_formulario!$F$38,pop_saúde_suplementar!$B$2:$B$274,"&gt;="&amp;Populacao!$C38,pop_saúde_suplementar!$B$2:$B$274,"&lt;="&amp;Populacao!$E38) * $G38)</f>
        <v>0</v>
      </c>
      <c r="AK38" s="94">
        <f ca="1">IF($I38&gt;0,$I38,1)*IF($O38&gt;0,$O38,1)*IF($M38&gt;0,$M38,1)*IF($K38&gt;0,$K38,1)*IF($Q38&gt;0,$Q38,1)*IF($S38&gt;0,$S38,1)*IF($U38&gt;0,$U38,1)*IF($W38&gt;0,$W38,1)*IF($Y38&gt;0,$Y38,1)*(SUMIFS(OFFSET(pop_saúde_suplementar!$C$2:$C$274, 0, AK$14-2017),pop_saúde_suplementar!$A$2:$A$274,controle_formulario!$F$38,pop_saúde_suplementar!$B$2:$B$274,"&gt;="&amp;Populacao!$C38,pop_saúde_suplementar!$B$2:$B$274,"&lt;="&amp;Populacao!$E38) * $G38)</f>
        <v>0</v>
      </c>
      <c r="AL38" s="94">
        <f ca="1">IF($I38&gt;0,$I38,1)*IF($O38&gt;0,$O38,1)*IF($M38&gt;0,$M38,1)*IF($K38&gt;0,$K38,1)*IF($Q38&gt;0,$Q38,1)*IF($S38&gt;0,$S38,1)*IF($U38&gt;0,$U38,1)*IF($W38&gt;0,$W38,1)*IF($Y38&gt;0,$Y38,1)*(SUMIFS(OFFSET(pop_saúde_suplementar!$C$2:$C$274, 0, AL$14-2017),pop_saúde_suplementar!$A$2:$A$274,controle_formulario!$F$38,pop_saúde_suplementar!$B$2:$B$274,"&gt;="&amp;Populacao!$C38,pop_saúde_suplementar!$B$2:$B$274,"&lt;="&amp;Populacao!$E38) * $G38)</f>
        <v>0</v>
      </c>
      <c r="AM38" s="6"/>
      <c r="AO38" s="140" t="str">
        <f>IF(OR(controle_formulario!$C$39=2,controle_formulario!$E$40=3),"Ocultar","")</f>
        <v>Ocultar</v>
      </c>
      <c r="AQ38" s="109"/>
      <c r="AR38" s="33"/>
      <c r="AS38" s="33"/>
    </row>
    <row r="39" spans="2:45" hidden="1" x14ac:dyDescent="0.3">
      <c r="B39" s="5"/>
      <c r="C39" s="44"/>
      <c r="D39" s="42" t="s">
        <v>39</v>
      </c>
      <c r="E39" s="44"/>
      <c r="F39" s="42"/>
      <c r="G39" s="46"/>
      <c r="H39" s="42"/>
      <c r="I39" s="46"/>
      <c r="J39" s="42"/>
      <c r="K39" s="46"/>
      <c r="L39" s="42"/>
      <c r="M39" s="46"/>
      <c r="N39" s="42"/>
      <c r="O39" s="46"/>
      <c r="P39" s="11"/>
      <c r="Q39" s="46"/>
      <c r="R39" s="11"/>
      <c r="S39" s="46"/>
      <c r="T39" s="11"/>
      <c r="U39" s="46"/>
      <c r="V39" s="11"/>
      <c r="W39" s="46"/>
      <c r="X39" s="11"/>
      <c r="Y39" s="46"/>
      <c r="Z39" s="11"/>
      <c r="AA39" s="39"/>
      <c r="AB39" s="38"/>
      <c r="AC39" s="94">
        <f ca="1">IF($I39&gt;0,$I39,1)*IF($O39&gt;0,$O39,1)*IF($M39&gt;0,$M39,1)*IF($K39&gt;0,$K39,1)*IF($Q39&gt;0,$Q39,1)*IF($S39&gt;0,$S39,1)*IF($U39&gt;0,$U39,1)*IF($W39&gt;0,$W39,1)*IF($Y39&gt;0,$Y39,1)*(SUMIFS(OFFSET(pop_saúde_suplementar!$C$2:$C$274, 0, AC$14-2017),pop_saúde_suplementar!$A$2:$A$274,controle_formulario!$F$38,pop_saúde_suplementar!$B$2:$B$274,"&gt;="&amp;Populacao!$C39,pop_saúde_suplementar!$B$2:$B$274,"&lt;="&amp;Populacao!$E39) * $G39)</f>
        <v>0</v>
      </c>
      <c r="AD39" s="94">
        <f ca="1">IF($I39&gt;0,$I39,1)*IF($O39&gt;0,$O39,1)*IF($M39&gt;0,$M39,1)*IF($K39&gt;0,$K39,1)*IF($Q39&gt;0,$Q39,1)*IF($S39&gt;0,$S39,1)*IF($U39&gt;0,$U39,1)*IF($W39&gt;0,$W39,1)*IF($Y39&gt;0,$Y39,1)*(SUMIFS(OFFSET(pop_saúde_suplementar!$C$2:$C$274, 0, AD$14-2017),pop_saúde_suplementar!$A$2:$A$274,controle_formulario!$F$38,pop_saúde_suplementar!$B$2:$B$274,"&gt;="&amp;Populacao!$C39,pop_saúde_suplementar!$B$2:$B$274,"&lt;="&amp;Populacao!$E39) * $G39)</f>
        <v>0</v>
      </c>
      <c r="AE39" s="94">
        <f ca="1">IF($I39&gt;0,$I39,1)*IF($O39&gt;0,$O39,1)*IF($M39&gt;0,$M39,1)*IF($K39&gt;0,$K39,1)*IF($Q39&gt;0,$Q39,1)*IF($S39&gt;0,$S39,1)*IF($U39&gt;0,$U39,1)*IF($W39&gt;0,$W39,1)*IF($Y39&gt;0,$Y39,1)*(SUMIFS(OFFSET(pop_saúde_suplementar!$C$2:$C$274, 0, AE$14-2017),pop_saúde_suplementar!$A$2:$A$274,controle_formulario!$F$38,pop_saúde_suplementar!$B$2:$B$274,"&gt;="&amp;Populacao!$C39,pop_saúde_suplementar!$B$2:$B$274,"&lt;="&amp;Populacao!$E39) * $G39)</f>
        <v>0</v>
      </c>
      <c r="AF39" s="94">
        <f ca="1">IF($I39&gt;0,$I39,1)*IF($O39&gt;0,$O39,1)*IF($M39&gt;0,$M39,1)*IF($K39&gt;0,$K39,1)*IF($Q39&gt;0,$Q39,1)*IF($S39&gt;0,$S39,1)*IF($U39&gt;0,$U39,1)*IF($W39&gt;0,$W39,1)*IF($Y39&gt;0,$Y39,1)*(SUMIFS(OFFSET(pop_saúde_suplementar!$C$2:$C$274, 0, AF$14-2017),pop_saúde_suplementar!$A$2:$A$274,controle_formulario!$F$38,pop_saúde_suplementar!$B$2:$B$274,"&gt;="&amp;Populacao!$C39,pop_saúde_suplementar!$B$2:$B$274,"&lt;="&amp;Populacao!$E39) * $G39)</f>
        <v>0</v>
      </c>
      <c r="AG39" s="94">
        <f ca="1">IF($I39&gt;0,$I39,1)*IF($O39&gt;0,$O39,1)*IF($M39&gt;0,$M39,1)*IF($K39&gt;0,$K39,1)*IF($Q39&gt;0,$Q39,1)*IF($S39&gt;0,$S39,1)*IF($U39&gt;0,$U39,1)*IF($W39&gt;0,$W39,1)*IF($Y39&gt;0,$Y39,1)*(SUMIFS(OFFSET(pop_saúde_suplementar!$C$2:$C$274, 0, AG$14-2017),pop_saúde_suplementar!$A$2:$A$274,controle_formulario!$F$38,pop_saúde_suplementar!$B$2:$B$274,"&gt;="&amp;Populacao!$C39,pop_saúde_suplementar!$B$2:$B$274,"&lt;="&amp;Populacao!$E39) * $G39)</f>
        <v>0</v>
      </c>
      <c r="AH39" s="94">
        <f ca="1">IF($I39&gt;0,$I39,1)*IF($O39&gt;0,$O39,1)*IF($M39&gt;0,$M39,1)*IF($K39&gt;0,$K39,1)*IF($Q39&gt;0,$Q39,1)*IF($S39&gt;0,$S39,1)*IF($U39&gt;0,$U39,1)*IF($W39&gt;0,$W39,1)*IF($Y39&gt;0,$Y39,1)*(SUMIFS(OFFSET(pop_saúde_suplementar!$C$2:$C$274, 0, AH$14-2017),pop_saúde_suplementar!$A$2:$A$274,controle_formulario!$F$38,pop_saúde_suplementar!$B$2:$B$274,"&gt;="&amp;Populacao!$C39,pop_saúde_suplementar!$B$2:$B$274,"&lt;="&amp;Populacao!$E39) * $G39)</f>
        <v>0</v>
      </c>
      <c r="AI39" s="94">
        <f ca="1">IF($I39&gt;0,$I39,1)*IF($O39&gt;0,$O39,1)*IF($M39&gt;0,$M39,1)*IF($K39&gt;0,$K39,1)*IF($Q39&gt;0,$Q39,1)*IF($S39&gt;0,$S39,1)*IF($U39&gt;0,$U39,1)*IF($W39&gt;0,$W39,1)*IF($Y39&gt;0,$Y39,1)*(SUMIFS(OFFSET(pop_saúde_suplementar!$C$2:$C$274, 0, AI$14-2017),pop_saúde_suplementar!$A$2:$A$274,controle_formulario!$F$38,pop_saúde_suplementar!$B$2:$B$274,"&gt;="&amp;Populacao!$C39,pop_saúde_suplementar!$B$2:$B$274,"&lt;="&amp;Populacao!$E39) * $G39)</f>
        <v>0</v>
      </c>
      <c r="AJ39" s="94">
        <f ca="1">IF($I39&gt;0,$I39,1)*IF($O39&gt;0,$O39,1)*IF($M39&gt;0,$M39,1)*IF($K39&gt;0,$K39,1)*IF($Q39&gt;0,$Q39,1)*IF($S39&gt;0,$S39,1)*IF($U39&gt;0,$U39,1)*IF($W39&gt;0,$W39,1)*IF($Y39&gt;0,$Y39,1)*(SUMIFS(OFFSET(pop_saúde_suplementar!$C$2:$C$274, 0, AJ$14-2017),pop_saúde_suplementar!$A$2:$A$274,controle_formulario!$F$38,pop_saúde_suplementar!$B$2:$B$274,"&gt;="&amp;Populacao!$C39,pop_saúde_suplementar!$B$2:$B$274,"&lt;="&amp;Populacao!$E39) * $G39)</f>
        <v>0</v>
      </c>
      <c r="AK39" s="94">
        <f ca="1">IF($I39&gt;0,$I39,1)*IF($O39&gt;0,$O39,1)*IF($M39&gt;0,$M39,1)*IF($K39&gt;0,$K39,1)*IF($Q39&gt;0,$Q39,1)*IF($S39&gt;0,$S39,1)*IF($U39&gt;0,$U39,1)*IF($W39&gt;0,$W39,1)*IF($Y39&gt;0,$Y39,1)*(SUMIFS(OFFSET(pop_saúde_suplementar!$C$2:$C$274, 0, AK$14-2017),pop_saúde_suplementar!$A$2:$A$274,controle_formulario!$F$38,pop_saúde_suplementar!$B$2:$B$274,"&gt;="&amp;Populacao!$C39,pop_saúde_suplementar!$B$2:$B$274,"&lt;="&amp;Populacao!$E39) * $G39)</f>
        <v>0</v>
      </c>
      <c r="AL39" s="94">
        <f ca="1">IF($I39&gt;0,$I39,1)*IF($O39&gt;0,$O39,1)*IF($M39&gt;0,$M39,1)*IF($K39&gt;0,$K39,1)*IF($Q39&gt;0,$Q39,1)*IF($S39&gt;0,$S39,1)*IF($U39&gt;0,$U39,1)*IF($W39&gt;0,$W39,1)*IF($Y39&gt;0,$Y39,1)*(SUMIFS(OFFSET(pop_saúde_suplementar!$C$2:$C$274, 0, AL$14-2017),pop_saúde_suplementar!$A$2:$A$274,controle_formulario!$F$38,pop_saúde_suplementar!$B$2:$B$274,"&gt;="&amp;Populacao!$C39,pop_saúde_suplementar!$B$2:$B$274,"&lt;="&amp;Populacao!$E39) * $G39)</f>
        <v>0</v>
      </c>
      <c r="AM39" s="6"/>
      <c r="AO39" s="140" t="str">
        <f>IF(OR(controle_formulario!$C$39=2,controle_formulario!$E$40=3),"Ocultar","")</f>
        <v>Ocultar</v>
      </c>
      <c r="AQ39" s="109"/>
      <c r="AR39" s="33"/>
      <c r="AS39" s="33"/>
    </row>
    <row r="40" spans="2:45" hidden="1" x14ac:dyDescent="0.3">
      <c r="B40" s="5"/>
      <c r="C40" s="44"/>
      <c r="D40" s="42" t="s">
        <v>39</v>
      </c>
      <c r="E40" s="44"/>
      <c r="F40" s="42"/>
      <c r="G40" s="46"/>
      <c r="H40" s="42"/>
      <c r="I40" s="46"/>
      <c r="J40" s="42"/>
      <c r="K40" s="46"/>
      <c r="L40" s="42"/>
      <c r="M40" s="46"/>
      <c r="N40" s="42"/>
      <c r="O40" s="46"/>
      <c r="P40" s="11"/>
      <c r="Q40" s="46"/>
      <c r="R40" s="11"/>
      <c r="S40" s="46"/>
      <c r="T40" s="11"/>
      <c r="U40" s="46"/>
      <c r="V40" s="11"/>
      <c r="W40" s="46"/>
      <c r="X40" s="11"/>
      <c r="Y40" s="46"/>
      <c r="Z40" s="11"/>
      <c r="AA40" s="39"/>
      <c r="AB40" s="38"/>
      <c r="AC40" s="94">
        <f ca="1">IF($I40&gt;0,$I40,1)*IF($O40&gt;0,$O40,1)*IF($M40&gt;0,$M40,1)*IF($K40&gt;0,$K40,1)*IF($Q40&gt;0,$Q40,1)*IF($S40&gt;0,$S40,1)*IF($U40&gt;0,$U40,1)*IF($W40&gt;0,$W40,1)*IF($Y40&gt;0,$Y40,1)*(SUMIFS(OFFSET(pop_saúde_suplementar!$C$2:$C$274, 0, AC$14-2017),pop_saúde_suplementar!$A$2:$A$274,controle_formulario!$F$38,pop_saúde_suplementar!$B$2:$B$274,"&gt;="&amp;Populacao!$C40,pop_saúde_suplementar!$B$2:$B$274,"&lt;="&amp;Populacao!$E40) * $G40)</f>
        <v>0</v>
      </c>
      <c r="AD40" s="94">
        <f ca="1">IF($I40&gt;0,$I40,1)*IF($O40&gt;0,$O40,1)*IF($M40&gt;0,$M40,1)*IF($K40&gt;0,$K40,1)*IF($Q40&gt;0,$Q40,1)*IF($S40&gt;0,$S40,1)*IF($U40&gt;0,$U40,1)*IF($W40&gt;0,$W40,1)*IF($Y40&gt;0,$Y40,1)*(SUMIFS(OFFSET(pop_saúde_suplementar!$C$2:$C$274, 0, AD$14-2017),pop_saúde_suplementar!$A$2:$A$274,controle_formulario!$F$38,pop_saúde_suplementar!$B$2:$B$274,"&gt;="&amp;Populacao!$C40,pop_saúde_suplementar!$B$2:$B$274,"&lt;="&amp;Populacao!$E40) * $G40)</f>
        <v>0</v>
      </c>
      <c r="AE40" s="94">
        <f ca="1">IF($I40&gt;0,$I40,1)*IF($O40&gt;0,$O40,1)*IF($M40&gt;0,$M40,1)*IF($K40&gt;0,$K40,1)*IF($Q40&gt;0,$Q40,1)*IF($S40&gt;0,$S40,1)*IF($U40&gt;0,$U40,1)*IF($W40&gt;0,$W40,1)*IF($Y40&gt;0,$Y40,1)*(SUMIFS(OFFSET(pop_saúde_suplementar!$C$2:$C$274, 0, AE$14-2017),pop_saúde_suplementar!$A$2:$A$274,controle_formulario!$F$38,pop_saúde_suplementar!$B$2:$B$274,"&gt;="&amp;Populacao!$C40,pop_saúde_suplementar!$B$2:$B$274,"&lt;="&amp;Populacao!$E40) * $G40)</f>
        <v>0</v>
      </c>
      <c r="AF40" s="94">
        <f ca="1">IF($I40&gt;0,$I40,1)*IF($O40&gt;0,$O40,1)*IF($M40&gt;0,$M40,1)*IF($K40&gt;0,$K40,1)*IF($Q40&gt;0,$Q40,1)*IF($S40&gt;0,$S40,1)*IF($U40&gt;0,$U40,1)*IF($W40&gt;0,$W40,1)*IF($Y40&gt;0,$Y40,1)*(SUMIFS(OFFSET(pop_saúde_suplementar!$C$2:$C$274, 0, AF$14-2017),pop_saúde_suplementar!$A$2:$A$274,controle_formulario!$F$38,pop_saúde_suplementar!$B$2:$B$274,"&gt;="&amp;Populacao!$C40,pop_saúde_suplementar!$B$2:$B$274,"&lt;="&amp;Populacao!$E40) * $G40)</f>
        <v>0</v>
      </c>
      <c r="AG40" s="94">
        <f ca="1">IF($I40&gt;0,$I40,1)*IF($O40&gt;0,$O40,1)*IF($M40&gt;0,$M40,1)*IF($K40&gt;0,$K40,1)*IF($Q40&gt;0,$Q40,1)*IF($S40&gt;0,$S40,1)*IF($U40&gt;0,$U40,1)*IF($W40&gt;0,$W40,1)*IF($Y40&gt;0,$Y40,1)*(SUMIFS(OFFSET(pop_saúde_suplementar!$C$2:$C$274, 0, AG$14-2017),pop_saúde_suplementar!$A$2:$A$274,controle_formulario!$F$38,pop_saúde_suplementar!$B$2:$B$274,"&gt;="&amp;Populacao!$C40,pop_saúde_suplementar!$B$2:$B$274,"&lt;="&amp;Populacao!$E40) * $G40)</f>
        <v>0</v>
      </c>
      <c r="AH40" s="94">
        <f ca="1">IF($I40&gt;0,$I40,1)*IF($O40&gt;0,$O40,1)*IF($M40&gt;0,$M40,1)*IF($K40&gt;0,$K40,1)*IF($Q40&gt;0,$Q40,1)*IF($S40&gt;0,$S40,1)*IF($U40&gt;0,$U40,1)*IF($W40&gt;0,$W40,1)*IF($Y40&gt;0,$Y40,1)*(SUMIFS(OFFSET(pop_saúde_suplementar!$C$2:$C$274, 0, AH$14-2017),pop_saúde_suplementar!$A$2:$A$274,controle_formulario!$F$38,pop_saúde_suplementar!$B$2:$B$274,"&gt;="&amp;Populacao!$C40,pop_saúde_suplementar!$B$2:$B$274,"&lt;="&amp;Populacao!$E40) * $G40)</f>
        <v>0</v>
      </c>
      <c r="AI40" s="94">
        <f ca="1">IF($I40&gt;0,$I40,1)*IF($O40&gt;0,$O40,1)*IF($M40&gt;0,$M40,1)*IF($K40&gt;0,$K40,1)*IF($Q40&gt;0,$Q40,1)*IF($S40&gt;0,$S40,1)*IF($U40&gt;0,$U40,1)*IF($W40&gt;0,$W40,1)*IF($Y40&gt;0,$Y40,1)*(SUMIFS(OFFSET(pop_saúde_suplementar!$C$2:$C$274, 0, AI$14-2017),pop_saúde_suplementar!$A$2:$A$274,controle_formulario!$F$38,pop_saúde_suplementar!$B$2:$B$274,"&gt;="&amp;Populacao!$C40,pop_saúde_suplementar!$B$2:$B$274,"&lt;="&amp;Populacao!$E40) * $G40)</f>
        <v>0</v>
      </c>
      <c r="AJ40" s="94">
        <f ca="1">IF($I40&gt;0,$I40,1)*IF($O40&gt;0,$O40,1)*IF($M40&gt;0,$M40,1)*IF($K40&gt;0,$K40,1)*IF($Q40&gt;0,$Q40,1)*IF($S40&gt;0,$S40,1)*IF($U40&gt;0,$U40,1)*IF($W40&gt;0,$W40,1)*IF($Y40&gt;0,$Y40,1)*(SUMIFS(OFFSET(pop_saúde_suplementar!$C$2:$C$274, 0, AJ$14-2017),pop_saúde_suplementar!$A$2:$A$274,controle_formulario!$F$38,pop_saúde_suplementar!$B$2:$B$274,"&gt;="&amp;Populacao!$C40,pop_saúde_suplementar!$B$2:$B$274,"&lt;="&amp;Populacao!$E40) * $G40)</f>
        <v>0</v>
      </c>
      <c r="AK40" s="94">
        <f ca="1">IF($I40&gt;0,$I40,1)*IF($O40&gt;0,$O40,1)*IF($M40&gt;0,$M40,1)*IF($K40&gt;0,$K40,1)*IF($Q40&gt;0,$Q40,1)*IF($S40&gt;0,$S40,1)*IF($U40&gt;0,$U40,1)*IF($W40&gt;0,$W40,1)*IF($Y40&gt;0,$Y40,1)*(SUMIFS(OFFSET(pop_saúde_suplementar!$C$2:$C$274, 0, AK$14-2017),pop_saúde_suplementar!$A$2:$A$274,controle_formulario!$F$38,pop_saúde_suplementar!$B$2:$B$274,"&gt;="&amp;Populacao!$C40,pop_saúde_suplementar!$B$2:$B$274,"&lt;="&amp;Populacao!$E40) * $G40)</f>
        <v>0</v>
      </c>
      <c r="AL40" s="94">
        <f ca="1">IF($I40&gt;0,$I40,1)*IF($O40&gt;0,$O40,1)*IF($M40&gt;0,$M40,1)*IF($K40&gt;0,$K40,1)*IF($Q40&gt;0,$Q40,1)*IF($S40&gt;0,$S40,1)*IF($U40&gt;0,$U40,1)*IF($W40&gt;0,$W40,1)*IF($Y40&gt;0,$Y40,1)*(SUMIFS(OFFSET(pop_saúde_suplementar!$C$2:$C$274, 0, AL$14-2017),pop_saúde_suplementar!$A$2:$A$274,controle_formulario!$F$38,pop_saúde_suplementar!$B$2:$B$274,"&gt;="&amp;Populacao!$C40,pop_saúde_suplementar!$B$2:$B$274,"&lt;="&amp;Populacao!$E40) * $G40)</f>
        <v>0</v>
      </c>
      <c r="AM40" s="6"/>
      <c r="AO40" s="140" t="str">
        <f>IF(OR(controle_formulario!$C$39=2,controle_formulario!$E$40=3),"Ocultar","")</f>
        <v>Ocultar</v>
      </c>
      <c r="AQ40" s="109"/>
      <c r="AR40" s="33"/>
      <c r="AS40" s="33"/>
    </row>
    <row r="41" spans="2:45" hidden="1" x14ac:dyDescent="0.3">
      <c r="B41" s="5"/>
      <c r="C41" s="44"/>
      <c r="D41" s="42" t="s">
        <v>39</v>
      </c>
      <c r="E41" s="44"/>
      <c r="F41" s="42"/>
      <c r="G41" s="46"/>
      <c r="H41" s="42"/>
      <c r="I41" s="46"/>
      <c r="J41" s="42"/>
      <c r="K41" s="46"/>
      <c r="L41" s="42"/>
      <c r="M41" s="46"/>
      <c r="N41" s="42"/>
      <c r="O41" s="46"/>
      <c r="P41" s="11"/>
      <c r="Q41" s="46"/>
      <c r="R41" s="11"/>
      <c r="S41" s="46"/>
      <c r="T41" s="11"/>
      <c r="U41" s="46"/>
      <c r="V41" s="11"/>
      <c r="W41" s="46"/>
      <c r="X41" s="11"/>
      <c r="Y41" s="46"/>
      <c r="Z41" s="11"/>
      <c r="AA41" s="11"/>
      <c r="AB41" s="38"/>
      <c r="AC41" s="94">
        <f ca="1">IF($I41&gt;0,$I41,1)*IF($O41&gt;0,$O41,1)*IF($M41&gt;0,$M41,1)*IF($K41&gt;0,$K41,1)*IF($Q41&gt;0,$Q41,1)*IF($S41&gt;0,$S41,1)*IF($U41&gt;0,$U41,1)*IF($W41&gt;0,$W41,1)*IF($Y41&gt;0,$Y41,1)*(SUMIFS(OFFSET(pop_saúde_suplementar!$C$2:$C$274, 0, AC$14-2017),pop_saúde_suplementar!$A$2:$A$274,controle_formulario!$F$38,pop_saúde_suplementar!$B$2:$B$274,"&gt;="&amp;Populacao!$C41,pop_saúde_suplementar!$B$2:$B$274,"&lt;="&amp;Populacao!$E41) * $G41)</f>
        <v>0</v>
      </c>
      <c r="AD41" s="94">
        <f ca="1">IF($I41&gt;0,$I41,1)*IF($O41&gt;0,$O41,1)*IF($M41&gt;0,$M41,1)*IF($K41&gt;0,$K41,1)*IF($Q41&gt;0,$Q41,1)*IF($S41&gt;0,$S41,1)*IF($U41&gt;0,$U41,1)*IF($W41&gt;0,$W41,1)*IF($Y41&gt;0,$Y41,1)*(SUMIFS(OFFSET(pop_saúde_suplementar!$C$2:$C$274, 0, AD$14-2017),pop_saúde_suplementar!$A$2:$A$274,controle_formulario!$F$38,pop_saúde_suplementar!$B$2:$B$274,"&gt;="&amp;Populacao!$C41,pop_saúde_suplementar!$B$2:$B$274,"&lt;="&amp;Populacao!$E41) * $G41)</f>
        <v>0</v>
      </c>
      <c r="AE41" s="94">
        <f ca="1">IF($I41&gt;0,$I41,1)*IF($O41&gt;0,$O41,1)*IF($M41&gt;0,$M41,1)*IF($K41&gt;0,$K41,1)*IF($Q41&gt;0,$Q41,1)*IF($S41&gt;0,$S41,1)*IF($U41&gt;0,$U41,1)*IF($W41&gt;0,$W41,1)*IF($Y41&gt;0,$Y41,1)*(SUMIFS(OFFSET(pop_saúde_suplementar!$C$2:$C$274, 0, AE$14-2017),pop_saúde_suplementar!$A$2:$A$274,controle_formulario!$F$38,pop_saúde_suplementar!$B$2:$B$274,"&gt;="&amp;Populacao!$C41,pop_saúde_suplementar!$B$2:$B$274,"&lt;="&amp;Populacao!$E41) * $G41)</f>
        <v>0</v>
      </c>
      <c r="AF41" s="94">
        <f ca="1">IF($I41&gt;0,$I41,1)*IF($O41&gt;0,$O41,1)*IF($M41&gt;0,$M41,1)*IF($K41&gt;0,$K41,1)*IF($Q41&gt;0,$Q41,1)*IF($S41&gt;0,$S41,1)*IF($U41&gt;0,$U41,1)*IF($W41&gt;0,$W41,1)*IF($Y41&gt;0,$Y41,1)*(SUMIFS(OFFSET(pop_saúde_suplementar!$C$2:$C$274, 0, AF$14-2017),pop_saúde_suplementar!$A$2:$A$274,controle_formulario!$F$38,pop_saúde_suplementar!$B$2:$B$274,"&gt;="&amp;Populacao!$C41,pop_saúde_suplementar!$B$2:$B$274,"&lt;="&amp;Populacao!$E41) * $G41)</f>
        <v>0</v>
      </c>
      <c r="AG41" s="94">
        <f ca="1">IF($I41&gt;0,$I41,1)*IF($O41&gt;0,$O41,1)*IF($M41&gt;0,$M41,1)*IF($K41&gt;0,$K41,1)*IF($Q41&gt;0,$Q41,1)*IF($S41&gt;0,$S41,1)*IF($U41&gt;0,$U41,1)*IF($W41&gt;0,$W41,1)*IF($Y41&gt;0,$Y41,1)*(SUMIFS(OFFSET(pop_saúde_suplementar!$C$2:$C$274, 0, AG$14-2017),pop_saúde_suplementar!$A$2:$A$274,controle_formulario!$F$38,pop_saúde_suplementar!$B$2:$B$274,"&gt;="&amp;Populacao!$C41,pop_saúde_suplementar!$B$2:$B$274,"&lt;="&amp;Populacao!$E41) * $G41)</f>
        <v>0</v>
      </c>
      <c r="AH41" s="94">
        <f ca="1">IF($I41&gt;0,$I41,1)*IF($O41&gt;0,$O41,1)*IF($M41&gt;0,$M41,1)*IF($K41&gt;0,$K41,1)*IF($Q41&gt;0,$Q41,1)*IF($S41&gt;0,$S41,1)*IF($U41&gt;0,$U41,1)*IF($W41&gt;0,$W41,1)*IF($Y41&gt;0,$Y41,1)*(SUMIFS(OFFSET(pop_saúde_suplementar!$C$2:$C$274, 0, AH$14-2017),pop_saúde_suplementar!$A$2:$A$274,controle_formulario!$F$38,pop_saúde_suplementar!$B$2:$B$274,"&gt;="&amp;Populacao!$C41,pop_saúde_suplementar!$B$2:$B$274,"&lt;="&amp;Populacao!$E41) * $G41)</f>
        <v>0</v>
      </c>
      <c r="AI41" s="94">
        <f ca="1">IF($I41&gt;0,$I41,1)*IF($O41&gt;0,$O41,1)*IF($M41&gt;0,$M41,1)*IF($K41&gt;0,$K41,1)*IF($Q41&gt;0,$Q41,1)*IF($S41&gt;0,$S41,1)*IF($U41&gt;0,$U41,1)*IF($W41&gt;0,$W41,1)*IF($Y41&gt;0,$Y41,1)*(SUMIFS(OFFSET(pop_saúde_suplementar!$C$2:$C$274, 0, AI$14-2017),pop_saúde_suplementar!$A$2:$A$274,controle_formulario!$F$38,pop_saúde_suplementar!$B$2:$B$274,"&gt;="&amp;Populacao!$C41,pop_saúde_suplementar!$B$2:$B$274,"&lt;="&amp;Populacao!$E41) * $G41)</f>
        <v>0</v>
      </c>
      <c r="AJ41" s="94">
        <f ca="1">IF($I41&gt;0,$I41,1)*IF($O41&gt;0,$O41,1)*IF($M41&gt;0,$M41,1)*IF($K41&gt;0,$K41,1)*IF($Q41&gt;0,$Q41,1)*IF($S41&gt;0,$S41,1)*IF($U41&gt;0,$U41,1)*IF($W41&gt;0,$W41,1)*IF($Y41&gt;0,$Y41,1)*(SUMIFS(OFFSET(pop_saúde_suplementar!$C$2:$C$274, 0, AJ$14-2017),pop_saúde_suplementar!$A$2:$A$274,controle_formulario!$F$38,pop_saúde_suplementar!$B$2:$B$274,"&gt;="&amp;Populacao!$C41,pop_saúde_suplementar!$B$2:$B$274,"&lt;="&amp;Populacao!$E41) * $G41)</f>
        <v>0</v>
      </c>
      <c r="AK41" s="94">
        <f ca="1">IF($I41&gt;0,$I41,1)*IF($O41&gt;0,$O41,1)*IF($M41&gt;0,$M41,1)*IF($K41&gt;0,$K41,1)*IF($Q41&gt;0,$Q41,1)*IF($S41&gt;0,$S41,1)*IF($U41&gt;0,$U41,1)*IF($W41&gt;0,$W41,1)*IF($Y41&gt;0,$Y41,1)*(SUMIFS(OFFSET(pop_saúde_suplementar!$C$2:$C$274, 0, AK$14-2017),pop_saúde_suplementar!$A$2:$A$274,controle_formulario!$F$38,pop_saúde_suplementar!$B$2:$B$274,"&gt;="&amp;Populacao!$C41,pop_saúde_suplementar!$B$2:$B$274,"&lt;="&amp;Populacao!$E41) * $G41)</f>
        <v>0</v>
      </c>
      <c r="AL41" s="94">
        <f ca="1">IF($I41&gt;0,$I41,1)*IF($O41&gt;0,$O41,1)*IF($M41&gt;0,$M41,1)*IF($K41&gt;0,$K41,1)*IF($Q41&gt;0,$Q41,1)*IF($S41&gt;0,$S41,1)*IF($U41&gt;0,$U41,1)*IF($W41&gt;0,$W41,1)*IF($Y41&gt;0,$Y41,1)*(SUMIFS(OFFSET(pop_saúde_suplementar!$C$2:$C$274, 0, AL$14-2017),pop_saúde_suplementar!$A$2:$A$274,controle_formulario!$F$38,pop_saúde_suplementar!$B$2:$B$274,"&gt;="&amp;Populacao!$C41,pop_saúde_suplementar!$B$2:$B$274,"&lt;="&amp;Populacao!$E41) * $G41)</f>
        <v>0</v>
      </c>
      <c r="AM41" s="6"/>
      <c r="AO41" s="140" t="str">
        <f>IF(OR(controle_formulario!$C$39=2,controle_formulario!$E$40=3),"Ocultar","")</f>
        <v>Ocultar</v>
      </c>
      <c r="AQ41" s="109"/>
      <c r="AR41" s="33"/>
      <c r="AS41" s="33"/>
    </row>
    <row r="42" spans="2:45" hidden="1" x14ac:dyDescent="0.3">
      <c r="B42" s="5"/>
      <c r="C42" s="44"/>
      <c r="D42" s="42" t="s">
        <v>39</v>
      </c>
      <c r="E42" s="44"/>
      <c r="F42" s="42"/>
      <c r="G42" s="46"/>
      <c r="H42" s="42"/>
      <c r="I42" s="46"/>
      <c r="J42" s="42"/>
      <c r="K42" s="46"/>
      <c r="L42" s="42"/>
      <c r="M42" s="46"/>
      <c r="N42" s="42"/>
      <c r="O42" s="46"/>
      <c r="P42" s="11"/>
      <c r="Q42" s="46"/>
      <c r="R42" s="11"/>
      <c r="S42" s="46"/>
      <c r="T42" s="11"/>
      <c r="U42" s="46"/>
      <c r="V42" s="11"/>
      <c r="W42" s="46"/>
      <c r="X42" s="11"/>
      <c r="Y42" s="46"/>
      <c r="Z42" s="11"/>
      <c r="AA42" s="11"/>
      <c r="AB42" s="38"/>
      <c r="AC42" s="94">
        <f ca="1">IF($I42&gt;0,$I42,1)*IF($O42&gt;0,$O42,1)*IF($M42&gt;0,$M42,1)*IF($K42&gt;0,$K42,1)*IF($Q42&gt;0,$Q42,1)*IF($S42&gt;0,$S42,1)*IF($U42&gt;0,$U42,1)*IF($W42&gt;0,$W42,1)*IF($Y42&gt;0,$Y42,1)*(SUMIFS(OFFSET(pop_saúde_suplementar!$C$2:$C$274, 0, AC$14-2017),pop_saúde_suplementar!$A$2:$A$274,controle_formulario!$F$38,pop_saúde_suplementar!$B$2:$B$274,"&gt;="&amp;Populacao!$C42,pop_saúde_suplementar!$B$2:$B$274,"&lt;="&amp;Populacao!$E42) * $G42)</f>
        <v>0</v>
      </c>
      <c r="AD42" s="94">
        <f ca="1">IF($I42&gt;0,$I42,1)*IF($O42&gt;0,$O42,1)*IF($M42&gt;0,$M42,1)*IF($K42&gt;0,$K42,1)*IF($Q42&gt;0,$Q42,1)*IF($S42&gt;0,$S42,1)*IF($U42&gt;0,$U42,1)*IF($W42&gt;0,$W42,1)*IF($Y42&gt;0,$Y42,1)*(SUMIFS(OFFSET(pop_saúde_suplementar!$C$2:$C$274, 0, AD$14-2017),pop_saúde_suplementar!$A$2:$A$274,controle_formulario!$F$38,pop_saúde_suplementar!$B$2:$B$274,"&gt;="&amp;Populacao!$C42,pop_saúde_suplementar!$B$2:$B$274,"&lt;="&amp;Populacao!$E42) * $G42)</f>
        <v>0</v>
      </c>
      <c r="AE42" s="94">
        <f ca="1">IF($I42&gt;0,$I42,1)*IF($O42&gt;0,$O42,1)*IF($M42&gt;0,$M42,1)*IF($K42&gt;0,$K42,1)*IF($Q42&gt;0,$Q42,1)*IF($S42&gt;0,$S42,1)*IF($U42&gt;0,$U42,1)*IF($W42&gt;0,$W42,1)*IF($Y42&gt;0,$Y42,1)*(SUMIFS(OFFSET(pop_saúde_suplementar!$C$2:$C$274, 0, AE$14-2017),pop_saúde_suplementar!$A$2:$A$274,controle_formulario!$F$38,pop_saúde_suplementar!$B$2:$B$274,"&gt;="&amp;Populacao!$C42,pop_saúde_suplementar!$B$2:$B$274,"&lt;="&amp;Populacao!$E42) * $G42)</f>
        <v>0</v>
      </c>
      <c r="AF42" s="94">
        <f ca="1">IF($I42&gt;0,$I42,1)*IF($O42&gt;0,$O42,1)*IF($M42&gt;0,$M42,1)*IF($K42&gt;0,$K42,1)*IF($Q42&gt;0,$Q42,1)*IF($S42&gt;0,$S42,1)*IF($U42&gt;0,$U42,1)*IF($W42&gt;0,$W42,1)*IF($Y42&gt;0,$Y42,1)*(SUMIFS(OFFSET(pop_saúde_suplementar!$C$2:$C$274, 0, AF$14-2017),pop_saúde_suplementar!$A$2:$A$274,controle_formulario!$F$38,pop_saúde_suplementar!$B$2:$B$274,"&gt;="&amp;Populacao!$C42,pop_saúde_suplementar!$B$2:$B$274,"&lt;="&amp;Populacao!$E42) * $G42)</f>
        <v>0</v>
      </c>
      <c r="AG42" s="94">
        <f ca="1">IF($I42&gt;0,$I42,1)*IF($O42&gt;0,$O42,1)*IF($M42&gt;0,$M42,1)*IF($K42&gt;0,$K42,1)*IF($Q42&gt;0,$Q42,1)*IF($S42&gt;0,$S42,1)*IF($U42&gt;0,$U42,1)*IF($W42&gt;0,$W42,1)*IF($Y42&gt;0,$Y42,1)*(SUMIFS(OFFSET(pop_saúde_suplementar!$C$2:$C$274, 0, AG$14-2017),pop_saúde_suplementar!$A$2:$A$274,controle_formulario!$F$38,pop_saúde_suplementar!$B$2:$B$274,"&gt;="&amp;Populacao!$C42,pop_saúde_suplementar!$B$2:$B$274,"&lt;="&amp;Populacao!$E42) * $G42)</f>
        <v>0</v>
      </c>
      <c r="AH42" s="94">
        <f ca="1">IF($I42&gt;0,$I42,1)*IF($O42&gt;0,$O42,1)*IF($M42&gt;0,$M42,1)*IF($K42&gt;0,$K42,1)*IF($Q42&gt;0,$Q42,1)*IF($S42&gt;0,$S42,1)*IF($U42&gt;0,$U42,1)*IF($W42&gt;0,$W42,1)*IF($Y42&gt;0,$Y42,1)*(SUMIFS(OFFSET(pop_saúde_suplementar!$C$2:$C$274, 0, AH$14-2017),pop_saúde_suplementar!$A$2:$A$274,controle_formulario!$F$38,pop_saúde_suplementar!$B$2:$B$274,"&gt;="&amp;Populacao!$C42,pop_saúde_suplementar!$B$2:$B$274,"&lt;="&amp;Populacao!$E42) * $G42)</f>
        <v>0</v>
      </c>
      <c r="AI42" s="94">
        <f ca="1">IF($I42&gt;0,$I42,1)*IF($O42&gt;0,$O42,1)*IF($M42&gt;0,$M42,1)*IF($K42&gt;0,$K42,1)*IF($Q42&gt;0,$Q42,1)*IF($S42&gt;0,$S42,1)*IF($U42&gt;0,$U42,1)*IF($W42&gt;0,$W42,1)*IF($Y42&gt;0,$Y42,1)*(SUMIFS(OFFSET(pop_saúde_suplementar!$C$2:$C$274, 0, AI$14-2017),pop_saúde_suplementar!$A$2:$A$274,controle_formulario!$F$38,pop_saúde_suplementar!$B$2:$B$274,"&gt;="&amp;Populacao!$C42,pop_saúde_suplementar!$B$2:$B$274,"&lt;="&amp;Populacao!$E42) * $G42)</f>
        <v>0</v>
      </c>
      <c r="AJ42" s="94">
        <f ca="1">IF($I42&gt;0,$I42,1)*IF($O42&gt;0,$O42,1)*IF($M42&gt;0,$M42,1)*IF($K42&gt;0,$K42,1)*IF($Q42&gt;0,$Q42,1)*IF($S42&gt;0,$S42,1)*IF($U42&gt;0,$U42,1)*IF($W42&gt;0,$W42,1)*IF($Y42&gt;0,$Y42,1)*(SUMIFS(OFFSET(pop_saúde_suplementar!$C$2:$C$274, 0, AJ$14-2017),pop_saúde_suplementar!$A$2:$A$274,controle_formulario!$F$38,pop_saúde_suplementar!$B$2:$B$274,"&gt;="&amp;Populacao!$C42,pop_saúde_suplementar!$B$2:$B$274,"&lt;="&amp;Populacao!$E42) * $G42)</f>
        <v>0</v>
      </c>
      <c r="AK42" s="94">
        <f ca="1">IF($I42&gt;0,$I42,1)*IF($O42&gt;0,$O42,1)*IF($M42&gt;0,$M42,1)*IF($K42&gt;0,$K42,1)*IF($Q42&gt;0,$Q42,1)*IF($S42&gt;0,$S42,1)*IF($U42&gt;0,$U42,1)*IF($W42&gt;0,$W42,1)*IF($Y42&gt;0,$Y42,1)*(SUMIFS(OFFSET(pop_saúde_suplementar!$C$2:$C$274, 0, AK$14-2017),pop_saúde_suplementar!$A$2:$A$274,controle_formulario!$F$38,pop_saúde_suplementar!$B$2:$B$274,"&gt;="&amp;Populacao!$C42,pop_saúde_suplementar!$B$2:$B$274,"&lt;="&amp;Populacao!$E42) * $G42)</f>
        <v>0</v>
      </c>
      <c r="AL42" s="94">
        <f ca="1">IF($I42&gt;0,$I42,1)*IF($O42&gt;0,$O42,1)*IF($M42&gt;0,$M42,1)*IF($K42&gt;0,$K42,1)*IF($Q42&gt;0,$Q42,1)*IF($S42&gt;0,$S42,1)*IF($U42&gt;0,$U42,1)*IF($W42&gt;0,$W42,1)*IF($Y42&gt;0,$Y42,1)*(SUMIFS(OFFSET(pop_saúde_suplementar!$C$2:$C$274, 0, AL$14-2017),pop_saúde_suplementar!$A$2:$A$274,controle_formulario!$F$38,pop_saúde_suplementar!$B$2:$B$274,"&gt;="&amp;Populacao!$C42,pop_saúde_suplementar!$B$2:$B$274,"&lt;="&amp;Populacao!$E42) * $G42)</f>
        <v>0</v>
      </c>
      <c r="AM42" s="6"/>
      <c r="AO42" s="140" t="str">
        <f>IF(OR(controle_formulario!$C$39=2,controle_formulario!$E$40=3),"Ocultar","")</f>
        <v>Ocultar</v>
      </c>
      <c r="AQ42" s="109"/>
      <c r="AR42" s="33"/>
      <c r="AS42" s="33"/>
    </row>
    <row r="43" spans="2:45" hidden="1" x14ac:dyDescent="0.3">
      <c r="B43" s="5"/>
      <c r="C43" s="44"/>
      <c r="D43" s="42" t="s">
        <v>39</v>
      </c>
      <c r="E43" s="44"/>
      <c r="F43" s="42"/>
      <c r="G43" s="46"/>
      <c r="H43" s="42"/>
      <c r="I43" s="46"/>
      <c r="J43" s="42"/>
      <c r="K43" s="46"/>
      <c r="L43" s="42"/>
      <c r="M43" s="46"/>
      <c r="N43" s="42"/>
      <c r="O43" s="46"/>
      <c r="P43" s="11"/>
      <c r="Q43" s="46"/>
      <c r="R43" s="11"/>
      <c r="S43" s="46"/>
      <c r="T43" s="11"/>
      <c r="U43" s="46"/>
      <c r="V43" s="11"/>
      <c r="W43" s="46"/>
      <c r="X43" s="11"/>
      <c r="Y43" s="46"/>
      <c r="Z43" s="11"/>
      <c r="AA43" s="11"/>
      <c r="AB43" s="38"/>
      <c r="AC43" s="94">
        <f ca="1">IF($I43&gt;0,$I43,1)*IF($O43&gt;0,$O43,1)*IF($M43&gt;0,$M43,1)*IF($K43&gt;0,$K43,1)*IF($Q43&gt;0,$Q43,1)*IF($S43&gt;0,$S43,1)*IF($U43&gt;0,$U43,1)*IF($W43&gt;0,$W43,1)*IF($Y43&gt;0,$Y43,1)*(SUMIFS(OFFSET(pop_saúde_suplementar!$C$2:$C$274, 0, AC$14-2017),pop_saúde_suplementar!$A$2:$A$274,controle_formulario!$F$38,pop_saúde_suplementar!$B$2:$B$274,"&gt;="&amp;Populacao!$C43,pop_saúde_suplementar!$B$2:$B$274,"&lt;="&amp;Populacao!$E43) * $G43)</f>
        <v>0</v>
      </c>
      <c r="AD43" s="94">
        <f ca="1">IF($I43&gt;0,$I43,1)*IF($O43&gt;0,$O43,1)*IF($M43&gt;0,$M43,1)*IF($K43&gt;0,$K43,1)*IF($Q43&gt;0,$Q43,1)*IF($S43&gt;0,$S43,1)*IF($U43&gt;0,$U43,1)*IF($W43&gt;0,$W43,1)*IF($Y43&gt;0,$Y43,1)*(SUMIFS(OFFSET(pop_saúde_suplementar!$C$2:$C$274, 0, AD$14-2017),pop_saúde_suplementar!$A$2:$A$274,controle_formulario!$F$38,pop_saúde_suplementar!$B$2:$B$274,"&gt;="&amp;Populacao!$C43,pop_saúde_suplementar!$B$2:$B$274,"&lt;="&amp;Populacao!$E43) * $G43)</f>
        <v>0</v>
      </c>
      <c r="AE43" s="94">
        <f ca="1">IF($I43&gt;0,$I43,1)*IF($O43&gt;0,$O43,1)*IF($M43&gt;0,$M43,1)*IF($K43&gt;0,$K43,1)*IF($Q43&gt;0,$Q43,1)*IF($S43&gt;0,$S43,1)*IF($U43&gt;0,$U43,1)*IF($W43&gt;0,$W43,1)*IF($Y43&gt;0,$Y43,1)*(SUMIFS(OFFSET(pop_saúde_suplementar!$C$2:$C$274, 0, AE$14-2017),pop_saúde_suplementar!$A$2:$A$274,controle_formulario!$F$38,pop_saúde_suplementar!$B$2:$B$274,"&gt;="&amp;Populacao!$C43,pop_saúde_suplementar!$B$2:$B$274,"&lt;="&amp;Populacao!$E43) * $G43)</f>
        <v>0</v>
      </c>
      <c r="AF43" s="94">
        <f ca="1">IF($I43&gt;0,$I43,1)*IF($O43&gt;0,$O43,1)*IF($M43&gt;0,$M43,1)*IF($K43&gt;0,$K43,1)*IF($Q43&gt;0,$Q43,1)*IF($S43&gt;0,$S43,1)*IF($U43&gt;0,$U43,1)*IF($W43&gt;0,$W43,1)*IF($Y43&gt;0,$Y43,1)*(SUMIFS(OFFSET(pop_saúde_suplementar!$C$2:$C$274, 0, AF$14-2017),pop_saúde_suplementar!$A$2:$A$274,controle_formulario!$F$38,pop_saúde_suplementar!$B$2:$B$274,"&gt;="&amp;Populacao!$C43,pop_saúde_suplementar!$B$2:$B$274,"&lt;="&amp;Populacao!$E43) * $G43)</f>
        <v>0</v>
      </c>
      <c r="AG43" s="94">
        <f ca="1">IF($I43&gt;0,$I43,1)*IF($O43&gt;0,$O43,1)*IF($M43&gt;0,$M43,1)*IF($K43&gt;0,$K43,1)*IF($Q43&gt;0,$Q43,1)*IF($S43&gt;0,$S43,1)*IF($U43&gt;0,$U43,1)*IF($W43&gt;0,$W43,1)*IF($Y43&gt;0,$Y43,1)*(SUMIFS(OFFSET(pop_saúde_suplementar!$C$2:$C$274, 0, AG$14-2017),pop_saúde_suplementar!$A$2:$A$274,controle_formulario!$F$38,pop_saúde_suplementar!$B$2:$B$274,"&gt;="&amp;Populacao!$C43,pop_saúde_suplementar!$B$2:$B$274,"&lt;="&amp;Populacao!$E43) * $G43)</f>
        <v>0</v>
      </c>
      <c r="AH43" s="94">
        <f ca="1">IF($I43&gt;0,$I43,1)*IF($O43&gt;0,$O43,1)*IF($M43&gt;0,$M43,1)*IF($K43&gt;0,$K43,1)*IF($Q43&gt;0,$Q43,1)*IF($S43&gt;0,$S43,1)*IF($U43&gt;0,$U43,1)*IF($W43&gt;0,$W43,1)*IF($Y43&gt;0,$Y43,1)*(SUMIFS(OFFSET(pop_saúde_suplementar!$C$2:$C$274, 0, AH$14-2017),pop_saúde_suplementar!$A$2:$A$274,controle_formulario!$F$38,pop_saúde_suplementar!$B$2:$B$274,"&gt;="&amp;Populacao!$C43,pop_saúde_suplementar!$B$2:$B$274,"&lt;="&amp;Populacao!$E43) * $G43)</f>
        <v>0</v>
      </c>
      <c r="AI43" s="94">
        <f ca="1">IF($I43&gt;0,$I43,1)*IF($O43&gt;0,$O43,1)*IF($M43&gt;0,$M43,1)*IF($K43&gt;0,$K43,1)*IF($Q43&gt;0,$Q43,1)*IF($S43&gt;0,$S43,1)*IF($U43&gt;0,$U43,1)*IF($W43&gt;0,$W43,1)*IF($Y43&gt;0,$Y43,1)*(SUMIFS(OFFSET(pop_saúde_suplementar!$C$2:$C$274, 0, AI$14-2017),pop_saúde_suplementar!$A$2:$A$274,controle_formulario!$F$38,pop_saúde_suplementar!$B$2:$B$274,"&gt;="&amp;Populacao!$C43,pop_saúde_suplementar!$B$2:$B$274,"&lt;="&amp;Populacao!$E43) * $G43)</f>
        <v>0</v>
      </c>
      <c r="AJ43" s="94">
        <f ca="1">IF($I43&gt;0,$I43,1)*IF($O43&gt;0,$O43,1)*IF($M43&gt;0,$M43,1)*IF($K43&gt;0,$K43,1)*IF($Q43&gt;0,$Q43,1)*IF($S43&gt;0,$S43,1)*IF($U43&gt;0,$U43,1)*IF($W43&gt;0,$W43,1)*IF($Y43&gt;0,$Y43,1)*(SUMIFS(OFFSET(pop_saúde_suplementar!$C$2:$C$274, 0, AJ$14-2017),pop_saúde_suplementar!$A$2:$A$274,controle_formulario!$F$38,pop_saúde_suplementar!$B$2:$B$274,"&gt;="&amp;Populacao!$C43,pop_saúde_suplementar!$B$2:$B$274,"&lt;="&amp;Populacao!$E43) * $G43)</f>
        <v>0</v>
      </c>
      <c r="AK43" s="94">
        <f ca="1">IF($I43&gt;0,$I43,1)*IF($O43&gt;0,$O43,1)*IF($M43&gt;0,$M43,1)*IF($K43&gt;0,$K43,1)*IF($Q43&gt;0,$Q43,1)*IF($S43&gt;0,$S43,1)*IF($U43&gt;0,$U43,1)*IF($W43&gt;0,$W43,1)*IF($Y43&gt;0,$Y43,1)*(SUMIFS(OFFSET(pop_saúde_suplementar!$C$2:$C$274, 0, AK$14-2017),pop_saúde_suplementar!$A$2:$A$274,controle_formulario!$F$38,pop_saúde_suplementar!$B$2:$B$274,"&gt;="&amp;Populacao!$C43,pop_saúde_suplementar!$B$2:$B$274,"&lt;="&amp;Populacao!$E43) * $G43)</f>
        <v>0</v>
      </c>
      <c r="AL43" s="94">
        <f ca="1">IF($I43&gt;0,$I43,1)*IF($O43&gt;0,$O43,1)*IF($M43&gt;0,$M43,1)*IF($K43&gt;0,$K43,1)*IF($Q43&gt;0,$Q43,1)*IF($S43&gt;0,$S43,1)*IF($U43&gt;0,$U43,1)*IF($W43&gt;0,$W43,1)*IF($Y43&gt;0,$Y43,1)*(SUMIFS(OFFSET(pop_saúde_suplementar!$C$2:$C$274, 0, AL$14-2017),pop_saúde_suplementar!$A$2:$A$274,controle_formulario!$F$38,pop_saúde_suplementar!$B$2:$B$274,"&gt;="&amp;Populacao!$C43,pop_saúde_suplementar!$B$2:$B$274,"&lt;="&amp;Populacao!$E43) * $G43)</f>
        <v>0</v>
      </c>
      <c r="AM43" s="6"/>
      <c r="AO43" s="140" t="str">
        <f>IF(OR(controle_formulario!$C$39=2,controle_formulario!$E$40=3),"Ocultar","")</f>
        <v>Ocultar</v>
      </c>
      <c r="AQ43" s="109"/>
      <c r="AR43" s="33"/>
      <c r="AS43" s="33"/>
    </row>
    <row r="44" spans="2:45" ht="4.5" hidden="1" customHeight="1" x14ac:dyDescent="0.3">
      <c r="B44" s="5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3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6"/>
      <c r="AO44" s="140" t="str">
        <f>IF(OR(controle_formulario!$C$39=2,controle_formulario!$E$40=3),"Ocultar","")</f>
        <v>Ocultar</v>
      </c>
      <c r="AQ44" s="109"/>
      <c r="AR44" s="33"/>
      <c r="AS44" s="33"/>
    </row>
    <row r="45" spans="2:45" hidden="1" x14ac:dyDescent="0.3">
      <c r="B45" s="5"/>
      <c r="H45" s="11"/>
      <c r="L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C45" s="27">
        <f t="shared" ref="AC45:AL45" ca="1" si="3">SUM(AC34:AC43)</f>
        <v>0</v>
      </c>
      <c r="AD45" s="27">
        <f t="shared" ca="1" si="3"/>
        <v>0</v>
      </c>
      <c r="AE45" s="27">
        <f t="shared" ca="1" si="3"/>
        <v>0</v>
      </c>
      <c r="AF45" s="27">
        <f t="shared" ca="1" si="3"/>
        <v>0</v>
      </c>
      <c r="AG45" s="27">
        <f t="shared" ca="1" si="3"/>
        <v>0</v>
      </c>
      <c r="AH45" s="27">
        <f t="shared" ca="1" si="3"/>
        <v>0</v>
      </c>
      <c r="AI45" s="27">
        <f t="shared" ca="1" si="3"/>
        <v>0</v>
      </c>
      <c r="AJ45" s="27">
        <f t="shared" ca="1" si="3"/>
        <v>0</v>
      </c>
      <c r="AK45" s="27">
        <f t="shared" ca="1" si="3"/>
        <v>0</v>
      </c>
      <c r="AL45" s="27">
        <f t="shared" ca="1" si="3"/>
        <v>0</v>
      </c>
      <c r="AM45" s="6"/>
      <c r="AO45" s="140" t="str">
        <f>IF(OR(controle_formulario!$C$39=2,controle_formulario!$E$40=3),"Ocultar","")</f>
        <v>Ocultar</v>
      </c>
      <c r="AQ45" s="109"/>
    </row>
    <row r="46" spans="2:45" hidden="1" x14ac:dyDescent="0.3">
      <c r="B46" s="5"/>
      <c r="L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6"/>
      <c r="AO46" s="140" t="str">
        <f>IF(OR(controle_formulario!$C$39=2,controle_formulario!$E$40=3),"Ocultar","")</f>
        <v>Ocultar</v>
      </c>
      <c r="AQ46" s="109"/>
    </row>
    <row r="47" spans="2:45" x14ac:dyDescent="0.3">
      <c r="B47" s="5"/>
      <c r="C47" s="157" t="s">
        <v>89</v>
      </c>
      <c r="D47" s="313" t="s">
        <v>128</v>
      </c>
      <c r="E47" s="314"/>
      <c r="F47" s="314"/>
      <c r="G47" s="314"/>
      <c r="H47" s="314"/>
      <c r="I47" s="314"/>
      <c r="J47" s="314"/>
      <c r="K47" s="314"/>
      <c r="L47" s="314"/>
      <c r="M47" s="315"/>
      <c r="AC47" s="15"/>
      <c r="AD47" s="15"/>
      <c r="AE47" s="15"/>
      <c r="AF47" s="15"/>
      <c r="AG47" s="15"/>
      <c r="AM47" s="6"/>
      <c r="AO47" s="140" t="str">
        <f>IF(controle_formulario!$C$39=2,"Ocultar","")</f>
        <v/>
      </c>
      <c r="AQ47" s="109"/>
    </row>
    <row r="48" spans="2:45" ht="58.5" customHeight="1" x14ac:dyDescent="0.3">
      <c r="B48" s="5"/>
      <c r="C48" s="307" t="s">
        <v>236</v>
      </c>
      <c r="D48" s="307"/>
      <c r="E48" s="307"/>
      <c r="F48" s="307"/>
      <c r="G48" s="307"/>
      <c r="H48" s="307"/>
      <c r="I48" s="307"/>
      <c r="J48" s="307"/>
      <c r="K48" s="307"/>
      <c r="L48" s="307"/>
      <c r="M48" s="307"/>
      <c r="N48" s="307"/>
      <c r="O48" s="307"/>
      <c r="P48" s="307"/>
      <c r="Q48" s="307"/>
      <c r="R48" s="307"/>
      <c r="S48" s="307"/>
      <c r="T48" s="307"/>
      <c r="U48" s="307"/>
      <c r="V48" s="307"/>
      <c r="W48" s="307"/>
      <c r="X48" s="307"/>
      <c r="Y48" s="307"/>
      <c r="Z48" s="307"/>
      <c r="AA48" s="307"/>
      <c r="AB48" s="307"/>
      <c r="AC48" s="307"/>
      <c r="AD48" s="307"/>
      <c r="AE48" s="307"/>
      <c r="AF48" s="307"/>
      <c r="AG48" s="307"/>
      <c r="AH48" s="13"/>
      <c r="AI48" s="13"/>
      <c r="AJ48" s="13"/>
      <c r="AK48" s="13"/>
      <c r="AL48" s="13"/>
      <c r="AM48" s="6"/>
      <c r="AO48" s="140" t="str">
        <f>IF(controle_formulario!$C$39=2,"Ocultar","")</f>
        <v/>
      </c>
      <c r="AQ48" s="109"/>
    </row>
    <row r="49" spans="2:43" ht="58.5" customHeight="1" x14ac:dyDescent="0.3">
      <c r="B49" s="5"/>
      <c r="C49" s="307"/>
      <c r="D49" s="307"/>
      <c r="E49" s="307"/>
      <c r="F49" s="307"/>
      <c r="G49" s="307"/>
      <c r="H49" s="307"/>
      <c r="I49" s="307"/>
      <c r="J49" s="307"/>
      <c r="K49" s="307"/>
      <c r="L49" s="307"/>
      <c r="M49" s="307"/>
      <c r="N49" s="307"/>
      <c r="O49" s="307"/>
      <c r="P49" s="307"/>
      <c r="Q49" s="307"/>
      <c r="R49" s="307"/>
      <c r="S49" s="307"/>
      <c r="T49" s="307"/>
      <c r="U49" s="307"/>
      <c r="V49" s="307"/>
      <c r="W49" s="307"/>
      <c r="X49" s="307"/>
      <c r="Y49" s="307"/>
      <c r="Z49" s="307"/>
      <c r="AA49" s="307"/>
      <c r="AB49" s="307"/>
      <c r="AC49" s="307"/>
      <c r="AD49" s="307"/>
      <c r="AE49" s="307"/>
      <c r="AF49" s="307"/>
      <c r="AG49" s="307"/>
      <c r="AH49" s="13"/>
      <c r="AI49" s="13"/>
      <c r="AJ49" s="13"/>
      <c r="AK49" s="13"/>
      <c r="AL49" s="13"/>
      <c r="AM49" s="6"/>
      <c r="AO49" s="140" t="str">
        <f>IF(controle_formulario!$C$39=2,"Ocultar","")</f>
        <v/>
      </c>
      <c r="AQ49" s="109"/>
    </row>
    <row r="50" spans="2:43" ht="58.5" customHeight="1" x14ac:dyDescent="0.3">
      <c r="B50" s="5"/>
      <c r="C50" s="307"/>
      <c r="D50" s="307"/>
      <c r="E50" s="307"/>
      <c r="F50" s="307"/>
      <c r="G50" s="307"/>
      <c r="H50" s="307"/>
      <c r="I50" s="307"/>
      <c r="J50" s="307"/>
      <c r="K50" s="307"/>
      <c r="L50" s="307"/>
      <c r="M50" s="307"/>
      <c r="N50" s="307"/>
      <c r="O50" s="307"/>
      <c r="P50" s="307"/>
      <c r="Q50" s="307"/>
      <c r="R50" s="307"/>
      <c r="S50" s="307"/>
      <c r="T50" s="307"/>
      <c r="U50" s="307"/>
      <c r="V50" s="307"/>
      <c r="W50" s="307"/>
      <c r="X50" s="307"/>
      <c r="Y50" s="307"/>
      <c r="Z50" s="307"/>
      <c r="AA50" s="307"/>
      <c r="AB50" s="307"/>
      <c r="AC50" s="307"/>
      <c r="AD50" s="307"/>
      <c r="AE50" s="307"/>
      <c r="AF50" s="307"/>
      <c r="AG50" s="307"/>
      <c r="AH50" s="13"/>
      <c r="AI50" s="13"/>
      <c r="AJ50" s="13"/>
      <c r="AK50" s="13"/>
      <c r="AL50" s="13"/>
      <c r="AM50" s="6"/>
      <c r="AO50" s="140" t="str">
        <f>IF(controle_formulario!$C$39=2,"Ocultar","")</f>
        <v/>
      </c>
      <c r="AQ50" s="109"/>
    </row>
    <row r="51" spans="2:43" ht="58.5" customHeight="1" x14ac:dyDescent="0.3">
      <c r="B51" s="5"/>
      <c r="C51" s="307"/>
      <c r="D51" s="307"/>
      <c r="E51" s="307"/>
      <c r="F51" s="307"/>
      <c r="G51" s="307"/>
      <c r="H51" s="307"/>
      <c r="I51" s="307"/>
      <c r="J51" s="307"/>
      <c r="K51" s="307"/>
      <c r="L51" s="307"/>
      <c r="M51" s="307"/>
      <c r="N51" s="307"/>
      <c r="O51" s="307"/>
      <c r="P51" s="307"/>
      <c r="Q51" s="307"/>
      <c r="R51" s="307"/>
      <c r="S51" s="307"/>
      <c r="T51" s="307"/>
      <c r="U51" s="307"/>
      <c r="V51" s="307"/>
      <c r="W51" s="307"/>
      <c r="X51" s="307"/>
      <c r="Y51" s="307"/>
      <c r="Z51" s="307"/>
      <c r="AA51" s="307"/>
      <c r="AB51" s="307"/>
      <c r="AC51" s="307"/>
      <c r="AD51" s="307"/>
      <c r="AE51" s="307"/>
      <c r="AF51" s="307"/>
      <c r="AG51" s="307"/>
      <c r="AH51" s="13"/>
      <c r="AI51" s="13"/>
      <c r="AJ51" s="13"/>
      <c r="AK51" s="13"/>
      <c r="AL51" s="13"/>
      <c r="AM51" s="6"/>
      <c r="AO51" s="140" t="str">
        <f>IF(controle_formulario!$C$39=2,"Ocultar","")</f>
        <v/>
      </c>
      <c r="AQ51" s="109"/>
    </row>
    <row r="52" spans="2:43" ht="58.5" customHeight="1" x14ac:dyDescent="0.3">
      <c r="B52" s="5"/>
      <c r="C52" s="307"/>
      <c r="D52" s="307"/>
      <c r="E52" s="307"/>
      <c r="F52" s="307"/>
      <c r="G52" s="307"/>
      <c r="H52" s="307"/>
      <c r="I52" s="307"/>
      <c r="J52" s="307"/>
      <c r="K52" s="307"/>
      <c r="L52" s="307"/>
      <c r="M52" s="307"/>
      <c r="N52" s="307"/>
      <c r="O52" s="307"/>
      <c r="P52" s="307"/>
      <c r="Q52" s="307"/>
      <c r="R52" s="307"/>
      <c r="S52" s="307"/>
      <c r="T52" s="307"/>
      <c r="U52" s="307"/>
      <c r="V52" s="307"/>
      <c r="W52" s="307"/>
      <c r="X52" s="307"/>
      <c r="Y52" s="307"/>
      <c r="Z52" s="307"/>
      <c r="AA52" s="307"/>
      <c r="AB52" s="307"/>
      <c r="AC52" s="307"/>
      <c r="AD52" s="307"/>
      <c r="AE52" s="307"/>
      <c r="AF52" s="307"/>
      <c r="AG52" s="307"/>
      <c r="AH52" s="13"/>
      <c r="AI52" s="13"/>
      <c r="AJ52" s="13"/>
      <c r="AK52" s="13"/>
      <c r="AL52" s="13"/>
      <c r="AM52" s="6"/>
      <c r="AO52" s="140" t="str">
        <f>IF(controle_formulario!$C$39=2,"Ocultar","")</f>
        <v/>
      </c>
      <c r="AQ52" s="109"/>
    </row>
    <row r="53" spans="2:43" x14ac:dyDescent="0.3"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9"/>
      <c r="AO53" s="140" t="str">
        <f>IF(controle_formulario!$C$39=2,"Ocultar","")</f>
        <v/>
      </c>
      <c r="AQ53" s="109"/>
    </row>
    <row r="55" spans="2:43" hidden="1" x14ac:dyDescent="0.3">
      <c r="B55" s="2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O55" s="109" t="str">
        <f>IF(controle_formulario!$C$39=1,"Ocultar","")</f>
        <v>Ocultar</v>
      </c>
      <c r="AQ55" s="109"/>
    </row>
    <row r="56" spans="2:43" ht="15.6" hidden="1" x14ac:dyDescent="0.3">
      <c r="B56" s="5"/>
      <c r="C56" s="312" t="s">
        <v>68</v>
      </c>
      <c r="D56" s="312"/>
      <c r="E56" s="312"/>
      <c r="F56" s="312"/>
      <c r="G56" s="312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M56" s="6"/>
      <c r="AO56" s="109" t="str">
        <f>IF(controle_formulario!$C$39=1,"Ocultar","")</f>
        <v>Ocultar</v>
      </c>
      <c r="AQ56" s="109"/>
    </row>
    <row r="57" spans="2:43" ht="15.6" hidden="1" x14ac:dyDescent="0.3">
      <c r="B57" s="5"/>
      <c r="C57" s="20"/>
      <c r="D57" s="20"/>
      <c r="E57" s="20"/>
      <c r="AA57" s="3"/>
      <c r="AB57" s="3"/>
      <c r="AC57" s="3"/>
      <c r="AD57" s="3"/>
      <c r="AE57" s="3"/>
      <c r="AF57" s="3"/>
      <c r="AG57" s="3"/>
      <c r="AM57" s="6"/>
      <c r="AO57" s="109" t="str">
        <f>IF(controle_formulario!$C$39=1,"Ocultar","")</f>
        <v>Ocultar</v>
      </c>
      <c r="AQ57" s="109"/>
    </row>
    <row r="58" spans="2:43" ht="15.6" hidden="1" x14ac:dyDescent="0.3">
      <c r="B58" s="5"/>
      <c r="C58" s="20"/>
      <c r="D58" s="20"/>
      <c r="E58" s="20"/>
      <c r="K58" s="146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6"/>
      <c r="AO58" s="109" t="str">
        <f>IF(controle_formulario!$C$39=1,"Ocultar","")</f>
        <v>Ocultar</v>
      </c>
      <c r="AQ58" s="109"/>
    </row>
    <row r="59" spans="2:43" hidden="1" x14ac:dyDescent="0.3">
      <c r="B59" s="5"/>
      <c r="H59" s="11"/>
      <c r="I59" s="302" t="s">
        <v>99</v>
      </c>
      <c r="J59" s="302"/>
      <c r="K59" s="302"/>
      <c r="L59" s="302"/>
      <c r="M59" s="302"/>
      <c r="N59" s="302"/>
      <c r="O59" s="302"/>
      <c r="P59" s="302"/>
      <c r="Q59" s="302"/>
      <c r="R59" s="302"/>
      <c r="S59" s="302"/>
      <c r="T59" s="302"/>
      <c r="U59" s="302"/>
      <c r="V59" s="302"/>
      <c r="W59" s="302"/>
      <c r="X59" s="302"/>
      <c r="Y59" s="302"/>
      <c r="Z59" s="302"/>
      <c r="AA59" s="302"/>
      <c r="AC59" s="11" t="s">
        <v>7</v>
      </c>
      <c r="AD59" s="11" t="s">
        <v>8</v>
      </c>
      <c r="AE59" s="11" t="s">
        <v>9</v>
      </c>
      <c r="AF59" s="11" t="s">
        <v>10</v>
      </c>
      <c r="AG59" s="11" t="s">
        <v>11</v>
      </c>
      <c r="AH59" s="11" t="s">
        <v>12</v>
      </c>
      <c r="AI59" s="11" t="s">
        <v>13</v>
      </c>
      <c r="AJ59" s="11" t="s">
        <v>14</v>
      </c>
      <c r="AK59" s="11" t="s">
        <v>15</v>
      </c>
      <c r="AL59" s="11" t="s">
        <v>16</v>
      </c>
      <c r="AM59" s="6"/>
      <c r="AO59" s="109" t="str">
        <f>IF(controle_formulario!$C$39=1,"Ocultar","")</f>
        <v>Ocultar</v>
      </c>
      <c r="AQ59" s="109"/>
    </row>
    <row r="60" spans="2:43" hidden="1" x14ac:dyDescent="0.3">
      <c r="B60" s="5"/>
      <c r="C60" s="306" t="s">
        <v>5</v>
      </c>
      <c r="D60" s="306"/>
      <c r="E60" s="306"/>
      <c r="F60" s="11"/>
      <c r="G60" s="24" t="s">
        <v>116</v>
      </c>
      <c r="H60" s="11"/>
      <c r="I60" s="105" t="s">
        <v>140</v>
      </c>
      <c r="J60" s="106"/>
      <c r="K60" s="105" t="s">
        <v>141</v>
      </c>
      <c r="L60" s="106"/>
      <c r="M60" s="105" t="s">
        <v>102</v>
      </c>
      <c r="N60" s="106"/>
      <c r="O60" s="105" t="s">
        <v>101</v>
      </c>
      <c r="P60" s="106"/>
      <c r="Q60" s="105" t="s">
        <v>100</v>
      </c>
      <c r="R60" s="106"/>
      <c r="S60" s="105" t="s">
        <v>105</v>
      </c>
      <c r="T60" s="106"/>
      <c r="U60" s="105" t="s">
        <v>106</v>
      </c>
      <c r="V60" s="106"/>
      <c r="W60" s="105" t="s">
        <v>107</v>
      </c>
      <c r="X60" s="106"/>
      <c r="Y60" s="105" t="s">
        <v>108</v>
      </c>
      <c r="Z60" s="106"/>
      <c r="AA60" s="105" t="s">
        <v>109</v>
      </c>
      <c r="AB60" s="11"/>
      <c r="AC60" s="24">
        <f>Criterios!$C$31</f>
        <v>2026</v>
      </c>
      <c r="AD60" s="24">
        <f t="shared" ref="AD60:AL60" si="4">AC60+1</f>
        <v>2027</v>
      </c>
      <c r="AE60" s="24">
        <f t="shared" si="4"/>
        <v>2028</v>
      </c>
      <c r="AF60" s="24">
        <f t="shared" si="4"/>
        <v>2029</v>
      </c>
      <c r="AG60" s="24">
        <f t="shared" si="4"/>
        <v>2030</v>
      </c>
      <c r="AH60" s="24">
        <f t="shared" si="4"/>
        <v>2031</v>
      </c>
      <c r="AI60" s="24">
        <f t="shared" si="4"/>
        <v>2032</v>
      </c>
      <c r="AJ60" s="24">
        <f t="shared" si="4"/>
        <v>2033</v>
      </c>
      <c r="AK60" s="24">
        <f t="shared" si="4"/>
        <v>2034</v>
      </c>
      <c r="AL60" s="24">
        <f t="shared" si="4"/>
        <v>2035</v>
      </c>
      <c r="AM60" s="6"/>
      <c r="AO60" s="109" t="str">
        <f>IF(controle_formulario!$C$39=1,"Ocultar","")</f>
        <v>Ocultar</v>
      </c>
      <c r="AQ60" s="109"/>
    </row>
    <row r="61" spans="2:43" ht="3.75" hidden="1" customHeight="1" x14ac:dyDescent="0.3">
      <c r="B61" s="5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6"/>
      <c r="AO61" s="109" t="str">
        <f>IF(controle_formulario!$C$39=1,"Ocultar","")</f>
        <v>Ocultar</v>
      </c>
      <c r="AQ61" s="109"/>
    </row>
    <row r="62" spans="2:43" ht="14.4" hidden="1" customHeight="1" x14ac:dyDescent="0.3">
      <c r="B62" s="5"/>
      <c r="C62" s="303" t="s">
        <v>66</v>
      </c>
      <c r="D62" s="304"/>
      <c r="E62" s="305"/>
      <c r="F62" s="42"/>
      <c r="G62" s="128"/>
      <c r="H62" s="42"/>
      <c r="I62" s="46"/>
      <c r="J62" s="42"/>
      <c r="K62" s="46"/>
      <c r="L62" s="42"/>
      <c r="M62" s="46"/>
      <c r="N62" s="42"/>
      <c r="O62" s="46"/>
      <c r="P62" s="11"/>
      <c r="Q62" s="46"/>
      <c r="R62" s="11"/>
      <c r="S62" s="46"/>
      <c r="T62" s="11"/>
      <c r="U62" s="46"/>
      <c r="V62" s="11"/>
      <c r="W62" s="46"/>
      <c r="X62" s="11"/>
      <c r="Y62" s="46"/>
      <c r="Z62" s="11"/>
      <c r="AA62" s="46"/>
      <c r="AB62" s="25"/>
      <c r="AC62" s="171">
        <f t="shared" ref="AC62:AL71" si="5">IF($I62&gt;0,$I62*$G62,$G62)*IF($K62&gt;0,$K62,1)*IF($M62&gt;0,$M62,1)*IF($O62&gt;0,$O62,1)*IF($AA62&gt;0,$AA62,1)*IF($Q62&gt;0,$Q62,1)*IF($S62&gt;0,$S62,1)*IF($U62&gt;0,$U62,1)*IF($W62&gt;0,$W62,1)*IF($Y62&gt;0,$Y62,1)</f>
        <v>0</v>
      </c>
      <c r="AD62" s="171">
        <f t="shared" si="5"/>
        <v>0</v>
      </c>
      <c r="AE62" s="171">
        <f t="shared" si="5"/>
        <v>0</v>
      </c>
      <c r="AF62" s="171">
        <f t="shared" si="5"/>
        <v>0</v>
      </c>
      <c r="AG62" s="171">
        <f t="shared" si="5"/>
        <v>0</v>
      </c>
      <c r="AH62" s="94">
        <f t="shared" si="5"/>
        <v>0</v>
      </c>
      <c r="AI62" s="94">
        <f t="shared" si="5"/>
        <v>0</v>
      </c>
      <c r="AJ62" s="94">
        <f t="shared" si="5"/>
        <v>0</v>
      </c>
      <c r="AK62" s="94">
        <f t="shared" si="5"/>
        <v>0</v>
      </c>
      <c r="AL62" s="94">
        <f t="shared" si="5"/>
        <v>0</v>
      </c>
      <c r="AM62" s="6"/>
      <c r="AO62" s="109" t="str">
        <f>IF(controle_formulario!$C$39=1,"Ocultar","")</f>
        <v>Ocultar</v>
      </c>
      <c r="AQ62" s="109"/>
    </row>
    <row r="63" spans="2:43" ht="14.4" hidden="1" customHeight="1" x14ac:dyDescent="0.3">
      <c r="B63" s="5"/>
      <c r="C63" s="303" t="s">
        <v>66</v>
      </c>
      <c r="D63" s="304"/>
      <c r="E63" s="305"/>
      <c r="F63" s="42"/>
      <c r="G63" s="128"/>
      <c r="H63" s="42"/>
      <c r="I63" s="46"/>
      <c r="J63" s="42"/>
      <c r="K63" s="46"/>
      <c r="L63" s="42"/>
      <c r="M63" s="46"/>
      <c r="N63" s="42"/>
      <c r="O63" s="46"/>
      <c r="P63" s="11"/>
      <c r="Q63" s="46"/>
      <c r="R63" s="11"/>
      <c r="S63" s="46"/>
      <c r="T63" s="11"/>
      <c r="U63" s="46"/>
      <c r="V63" s="11"/>
      <c r="W63" s="46"/>
      <c r="X63" s="11"/>
      <c r="Y63" s="46"/>
      <c r="Z63" s="11"/>
      <c r="AA63" s="46"/>
      <c r="AB63" s="25"/>
      <c r="AC63" s="172">
        <f t="shared" si="5"/>
        <v>0</v>
      </c>
      <c r="AD63" s="172">
        <f t="shared" si="5"/>
        <v>0</v>
      </c>
      <c r="AE63" s="172">
        <f t="shared" si="5"/>
        <v>0</v>
      </c>
      <c r="AF63" s="172">
        <f t="shared" si="5"/>
        <v>0</v>
      </c>
      <c r="AG63" s="172">
        <f t="shared" si="5"/>
        <v>0</v>
      </c>
      <c r="AH63" s="94">
        <f t="shared" si="5"/>
        <v>0</v>
      </c>
      <c r="AI63" s="94">
        <f t="shared" si="5"/>
        <v>0</v>
      </c>
      <c r="AJ63" s="94">
        <f t="shared" si="5"/>
        <v>0</v>
      </c>
      <c r="AK63" s="94">
        <f t="shared" si="5"/>
        <v>0</v>
      </c>
      <c r="AL63" s="94">
        <f t="shared" si="5"/>
        <v>0</v>
      </c>
      <c r="AM63" s="6"/>
      <c r="AO63" s="109" t="str">
        <f>IF(controle_formulario!$C$39=1,"Ocultar","")</f>
        <v>Ocultar</v>
      </c>
      <c r="AQ63" s="109"/>
    </row>
    <row r="64" spans="2:43" hidden="1" x14ac:dyDescent="0.3">
      <c r="B64" s="5"/>
      <c r="C64" s="303" t="s">
        <v>66</v>
      </c>
      <c r="D64" s="304"/>
      <c r="E64" s="305"/>
      <c r="F64" s="42"/>
      <c r="G64" s="128"/>
      <c r="H64" s="42"/>
      <c r="I64" s="46"/>
      <c r="J64" s="42"/>
      <c r="K64" s="46"/>
      <c r="L64" s="42"/>
      <c r="M64" s="46"/>
      <c r="N64" s="42"/>
      <c r="O64" s="46"/>
      <c r="P64" s="11"/>
      <c r="Q64" s="46"/>
      <c r="R64" s="11"/>
      <c r="S64" s="46"/>
      <c r="T64" s="11"/>
      <c r="U64" s="46"/>
      <c r="V64" s="11"/>
      <c r="W64" s="46"/>
      <c r="X64" s="11"/>
      <c r="Y64" s="46"/>
      <c r="Z64" s="11"/>
      <c r="AA64" s="46"/>
      <c r="AB64" s="25"/>
      <c r="AC64" s="94">
        <f t="shared" si="5"/>
        <v>0</v>
      </c>
      <c r="AD64" s="94">
        <f t="shared" si="5"/>
        <v>0</v>
      </c>
      <c r="AE64" s="94">
        <f t="shared" si="5"/>
        <v>0</v>
      </c>
      <c r="AF64" s="94">
        <f t="shared" si="5"/>
        <v>0</v>
      </c>
      <c r="AG64" s="94">
        <f t="shared" si="5"/>
        <v>0</v>
      </c>
      <c r="AH64" s="94">
        <f t="shared" si="5"/>
        <v>0</v>
      </c>
      <c r="AI64" s="94">
        <f t="shared" si="5"/>
        <v>0</v>
      </c>
      <c r="AJ64" s="94">
        <f t="shared" si="5"/>
        <v>0</v>
      </c>
      <c r="AK64" s="94">
        <f t="shared" si="5"/>
        <v>0</v>
      </c>
      <c r="AL64" s="94">
        <f t="shared" si="5"/>
        <v>0</v>
      </c>
      <c r="AM64" s="6"/>
      <c r="AO64" s="109" t="str">
        <f>IF(controle_formulario!$C$39=1,"Ocultar","")</f>
        <v>Ocultar</v>
      </c>
      <c r="AQ64" s="109"/>
    </row>
    <row r="65" spans="2:43" ht="14.4" hidden="1" customHeight="1" x14ac:dyDescent="0.3">
      <c r="B65" s="5"/>
      <c r="C65" s="303" t="s">
        <v>66</v>
      </c>
      <c r="D65" s="304"/>
      <c r="E65" s="305"/>
      <c r="F65" s="42"/>
      <c r="G65" s="128"/>
      <c r="H65" s="42"/>
      <c r="I65" s="46"/>
      <c r="J65" s="42"/>
      <c r="K65" s="46"/>
      <c r="L65" s="42"/>
      <c r="M65" s="46"/>
      <c r="N65" s="42"/>
      <c r="O65" s="46"/>
      <c r="P65" s="11"/>
      <c r="Q65" s="46"/>
      <c r="R65" s="11"/>
      <c r="S65" s="46"/>
      <c r="T65" s="11"/>
      <c r="U65" s="46"/>
      <c r="V65" s="11"/>
      <c r="W65" s="46"/>
      <c r="X65" s="11"/>
      <c r="Y65" s="46"/>
      <c r="Z65" s="11"/>
      <c r="AA65" s="46"/>
      <c r="AB65" s="25"/>
      <c r="AC65" s="94">
        <f t="shared" si="5"/>
        <v>0</v>
      </c>
      <c r="AD65" s="94">
        <f t="shared" si="5"/>
        <v>0</v>
      </c>
      <c r="AE65" s="94">
        <f t="shared" si="5"/>
        <v>0</v>
      </c>
      <c r="AF65" s="94">
        <f t="shared" si="5"/>
        <v>0</v>
      </c>
      <c r="AG65" s="94">
        <f t="shared" si="5"/>
        <v>0</v>
      </c>
      <c r="AH65" s="94">
        <f t="shared" si="5"/>
        <v>0</v>
      </c>
      <c r="AI65" s="94">
        <f t="shared" si="5"/>
        <v>0</v>
      </c>
      <c r="AJ65" s="94">
        <f t="shared" si="5"/>
        <v>0</v>
      </c>
      <c r="AK65" s="94">
        <f t="shared" si="5"/>
        <v>0</v>
      </c>
      <c r="AL65" s="94">
        <f t="shared" si="5"/>
        <v>0</v>
      </c>
      <c r="AM65" s="6"/>
      <c r="AO65" s="109" t="str">
        <f>IF(controle_formulario!$C$39=1,"Ocultar","")</f>
        <v>Ocultar</v>
      </c>
      <c r="AQ65" s="109"/>
    </row>
    <row r="66" spans="2:43" ht="14.4" hidden="1" customHeight="1" x14ac:dyDescent="0.3">
      <c r="B66" s="5"/>
      <c r="C66" s="303" t="s">
        <v>66</v>
      </c>
      <c r="D66" s="304"/>
      <c r="E66" s="305"/>
      <c r="F66" s="42"/>
      <c r="G66" s="128"/>
      <c r="H66" s="42"/>
      <c r="I66" s="46"/>
      <c r="J66" s="42"/>
      <c r="K66" s="46"/>
      <c r="L66" s="42"/>
      <c r="M66" s="46"/>
      <c r="N66" s="42"/>
      <c r="O66" s="46"/>
      <c r="P66" s="11"/>
      <c r="Q66" s="46"/>
      <c r="R66" s="11"/>
      <c r="S66" s="46"/>
      <c r="T66" s="11"/>
      <c r="U66" s="46"/>
      <c r="V66" s="11"/>
      <c r="W66" s="46"/>
      <c r="X66" s="11"/>
      <c r="Y66" s="46"/>
      <c r="Z66" s="11"/>
      <c r="AA66" s="46"/>
      <c r="AB66" s="25"/>
      <c r="AC66" s="94">
        <f t="shared" si="5"/>
        <v>0</v>
      </c>
      <c r="AD66" s="94">
        <f t="shared" si="5"/>
        <v>0</v>
      </c>
      <c r="AE66" s="94">
        <f t="shared" si="5"/>
        <v>0</v>
      </c>
      <c r="AF66" s="94">
        <f t="shared" si="5"/>
        <v>0</v>
      </c>
      <c r="AG66" s="94">
        <f t="shared" si="5"/>
        <v>0</v>
      </c>
      <c r="AH66" s="94">
        <f t="shared" si="5"/>
        <v>0</v>
      </c>
      <c r="AI66" s="94">
        <f t="shared" si="5"/>
        <v>0</v>
      </c>
      <c r="AJ66" s="94">
        <f t="shared" si="5"/>
        <v>0</v>
      </c>
      <c r="AK66" s="94">
        <f t="shared" si="5"/>
        <v>0</v>
      </c>
      <c r="AL66" s="94">
        <f t="shared" si="5"/>
        <v>0</v>
      </c>
      <c r="AM66" s="6"/>
      <c r="AO66" s="109" t="str">
        <f>IF(controle_formulario!$C$39=1,"Ocultar","")</f>
        <v>Ocultar</v>
      </c>
      <c r="AQ66" s="109"/>
    </row>
    <row r="67" spans="2:43" ht="14.4" hidden="1" customHeight="1" x14ac:dyDescent="0.3">
      <c r="B67" s="5"/>
      <c r="C67" s="303" t="s">
        <v>66</v>
      </c>
      <c r="D67" s="304"/>
      <c r="E67" s="305"/>
      <c r="F67" s="42"/>
      <c r="G67" s="128"/>
      <c r="H67" s="42"/>
      <c r="I67" s="46"/>
      <c r="J67" s="42"/>
      <c r="K67" s="46"/>
      <c r="L67" s="42"/>
      <c r="M67" s="46"/>
      <c r="N67" s="42"/>
      <c r="O67" s="46"/>
      <c r="P67" s="11"/>
      <c r="Q67" s="46"/>
      <c r="R67" s="11"/>
      <c r="S67" s="46"/>
      <c r="T67" s="11"/>
      <c r="U67" s="46"/>
      <c r="V67" s="11"/>
      <c r="W67" s="46"/>
      <c r="X67" s="11"/>
      <c r="Y67" s="46"/>
      <c r="Z67" s="11"/>
      <c r="AA67" s="46"/>
      <c r="AB67" s="38"/>
      <c r="AC67" s="94">
        <f t="shared" si="5"/>
        <v>0</v>
      </c>
      <c r="AD67" s="94">
        <f t="shared" si="5"/>
        <v>0</v>
      </c>
      <c r="AE67" s="94">
        <f t="shared" si="5"/>
        <v>0</v>
      </c>
      <c r="AF67" s="94">
        <f t="shared" si="5"/>
        <v>0</v>
      </c>
      <c r="AG67" s="94">
        <f t="shared" si="5"/>
        <v>0</v>
      </c>
      <c r="AH67" s="94">
        <f t="shared" si="5"/>
        <v>0</v>
      </c>
      <c r="AI67" s="94">
        <f t="shared" si="5"/>
        <v>0</v>
      </c>
      <c r="AJ67" s="94">
        <f t="shared" si="5"/>
        <v>0</v>
      </c>
      <c r="AK67" s="94">
        <f t="shared" si="5"/>
        <v>0</v>
      </c>
      <c r="AL67" s="94">
        <f t="shared" si="5"/>
        <v>0</v>
      </c>
      <c r="AM67" s="6"/>
      <c r="AO67" s="109" t="str">
        <f>IF(controle_formulario!$C$39=1,"Ocultar","")</f>
        <v>Ocultar</v>
      </c>
      <c r="AQ67" s="109"/>
    </row>
    <row r="68" spans="2:43" ht="14.4" hidden="1" customHeight="1" x14ac:dyDescent="0.3">
      <c r="B68" s="5"/>
      <c r="C68" s="303" t="s">
        <v>66</v>
      </c>
      <c r="D68" s="304"/>
      <c r="E68" s="305"/>
      <c r="F68" s="42"/>
      <c r="G68" s="128"/>
      <c r="H68" s="42"/>
      <c r="I68" s="46"/>
      <c r="J68" s="42"/>
      <c r="K68" s="46"/>
      <c r="L68" s="42"/>
      <c r="M68" s="46"/>
      <c r="N68" s="42"/>
      <c r="O68" s="46"/>
      <c r="P68" s="11"/>
      <c r="Q68" s="46"/>
      <c r="R68" s="11"/>
      <c r="S68" s="46"/>
      <c r="T68" s="11"/>
      <c r="U68" s="46"/>
      <c r="V68" s="11"/>
      <c r="W68" s="46"/>
      <c r="X68" s="11"/>
      <c r="Y68" s="46"/>
      <c r="Z68" s="11"/>
      <c r="AA68" s="46"/>
      <c r="AB68" s="38"/>
      <c r="AC68" s="94">
        <f t="shared" si="5"/>
        <v>0</v>
      </c>
      <c r="AD68" s="94">
        <f t="shared" si="5"/>
        <v>0</v>
      </c>
      <c r="AE68" s="94">
        <f t="shared" si="5"/>
        <v>0</v>
      </c>
      <c r="AF68" s="94">
        <f t="shared" si="5"/>
        <v>0</v>
      </c>
      <c r="AG68" s="94">
        <f t="shared" si="5"/>
        <v>0</v>
      </c>
      <c r="AH68" s="94">
        <f t="shared" si="5"/>
        <v>0</v>
      </c>
      <c r="AI68" s="94">
        <f t="shared" si="5"/>
        <v>0</v>
      </c>
      <c r="AJ68" s="94">
        <f t="shared" si="5"/>
        <v>0</v>
      </c>
      <c r="AK68" s="94">
        <f t="shared" si="5"/>
        <v>0</v>
      </c>
      <c r="AL68" s="94">
        <f t="shared" si="5"/>
        <v>0</v>
      </c>
      <c r="AM68" s="6"/>
      <c r="AO68" s="109" t="str">
        <f>IF(controle_formulario!$C$39=1,"Ocultar","")</f>
        <v>Ocultar</v>
      </c>
      <c r="AQ68" s="109"/>
    </row>
    <row r="69" spans="2:43" ht="14.4" hidden="1" customHeight="1" x14ac:dyDescent="0.3">
      <c r="B69" s="5"/>
      <c r="C69" s="303" t="s">
        <v>66</v>
      </c>
      <c r="D69" s="304"/>
      <c r="E69" s="305"/>
      <c r="F69" s="42"/>
      <c r="G69" s="128"/>
      <c r="H69" s="42"/>
      <c r="I69" s="46"/>
      <c r="J69" s="42"/>
      <c r="K69" s="46"/>
      <c r="L69" s="42"/>
      <c r="M69" s="46"/>
      <c r="N69" s="42"/>
      <c r="O69" s="46"/>
      <c r="P69" s="11"/>
      <c r="Q69" s="46"/>
      <c r="R69" s="11"/>
      <c r="S69" s="46"/>
      <c r="T69" s="11"/>
      <c r="U69" s="46"/>
      <c r="V69" s="11"/>
      <c r="W69" s="46"/>
      <c r="X69" s="11"/>
      <c r="Y69" s="46"/>
      <c r="Z69" s="11"/>
      <c r="AA69" s="46"/>
      <c r="AB69" s="38"/>
      <c r="AC69" s="94">
        <f t="shared" si="5"/>
        <v>0</v>
      </c>
      <c r="AD69" s="94">
        <f t="shared" si="5"/>
        <v>0</v>
      </c>
      <c r="AE69" s="94">
        <f t="shared" si="5"/>
        <v>0</v>
      </c>
      <c r="AF69" s="94">
        <f t="shared" si="5"/>
        <v>0</v>
      </c>
      <c r="AG69" s="94">
        <f t="shared" si="5"/>
        <v>0</v>
      </c>
      <c r="AH69" s="94">
        <f t="shared" si="5"/>
        <v>0</v>
      </c>
      <c r="AI69" s="94">
        <f t="shared" si="5"/>
        <v>0</v>
      </c>
      <c r="AJ69" s="94">
        <f t="shared" si="5"/>
        <v>0</v>
      </c>
      <c r="AK69" s="94">
        <f t="shared" si="5"/>
        <v>0</v>
      </c>
      <c r="AL69" s="94">
        <f t="shared" si="5"/>
        <v>0</v>
      </c>
      <c r="AM69" s="6"/>
      <c r="AO69" s="109" t="str">
        <f>IF(controle_formulario!$C$39=1,"Ocultar","")</f>
        <v>Ocultar</v>
      </c>
      <c r="AQ69" s="109"/>
    </row>
    <row r="70" spans="2:43" ht="14.4" hidden="1" customHeight="1" x14ac:dyDescent="0.3">
      <c r="B70" s="5"/>
      <c r="C70" s="303" t="s">
        <v>66</v>
      </c>
      <c r="D70" s="304"/>
      <c r="E70" s="305"/>
      <c r="F70" s="42"/>
      <c r="G70" s="128"/>
      <c r="H70" s="42"/>
      <c r="I70" s="46"/>
      <c r="J70" s="42"/>
      <c r="K70" s="46"/>
      <c r="L70" s="42"/>
      <c r="M70" s="46"/>
      <c r="N70" s="42"/>
      <c r="O70" s="46"/>
      <c r="P70" s="11"/>
      <c r="Q70" s="46"/>
      <c r="R70" s="11"/>
      <c r="S70" s="46"/>
      <c r="T70" s="11"/>
      <c r="U70" s="46"/>
      <c r="V70" s="11"/>
      <c r="W70" s="46"/>
      <c r="X70" s="11"/>
      <c r="Y70" s="46"/>
      <c r="Z70" s="11"/>
      <c r="AA70" s="46"/>
      <c r="AB70" s="38"/>
      <c r="AC70" s="94">
        <f t="shared" si="5"/>
        <v>0</v>
      </c>
      <c r="AD70" s="94">
        <f t="shared" si="5"/>
        <v>0</v>
      </c>
      <c r="AE70" s="94">
        <f t="shared" si="5"/>
        <v>0</v>
      </c>
      <c r="AF70" s="94">
        <f t="shared" si="5"/>
        <v>0</v>
      </c>
      <c r="AG70" s="94">
        <f t="shared" si="5"/>
        <v>0</v>
      </c>
      <c r="AH70" s="94">
        <f t="shared" si="5"/>
        <v>0</v>
      </c>
      <c r="AI70" s="94">
        <f t="shared" si="5"/>
        <v>0</v>
      </c>
      <c r="AJ70" s="94">
        <f t="shared" si="5"/>
        <v>0</v>
      </c>
      <c r="AK70" s="94">
        <f t="shared" si="5"/>
        <v>0</v>
      </c>
      <c r="AL70" s="94">
        <f t="shared" si="5"/>
        <v>0</v>
      </c>
      <c r="AM70" s="6"/>
      <c r="AO70" s="109" t="str">
        <f>IF(controle_formulario!$C$39=1,"Ocultar","")</f>
        <v>Ocultar</v>
      </c>
      <c r="AQ70" s="109"/>
    </row>
    <row r="71" spans="2:43" ht="14.4" hidden="1" customHeight="1" x14ac:dyDescent="0.3">
      <c r="B71" s="5"/>
      <c r="C71" s="309" t="s">
        <v>66</v>
      </c>
      <c r="D71" s="310"/>
      <c r="E71" s="311"/>
      <c r="F71" s="42"/>
      <c r="G71" s="128"/>
      <c r="H71" s="42"/>
      <c r="I71" s="46"/>
      <c r="J71" s="42"/>
      <c r="K71" s="46"/>
      <c r="L71" s="42"/>
      <c r="M71" s="46"/>
      <c r="N71" s="42"/>
      <c r="O71" s="46"/>
      <c r="P71" s="11"/>
      <c r="Q71" s="46"/>
      <c r="R71" s="11"/>
      <c r="S71" s="46"/>
      <c r="T71" s="11"/>
      <c r="U71" s="46"/>
      <c r="V71" s="11"/>
      <c r="W71" s="46"/>
      <c r="X71" s="11"/>
      <c r="Y71" s="46"/>
      <c r="Z71" s="11"/>
      <c r="AA71" s="46"/>
      <c r="AB71" s="38"/>
      <c r="AC71" s="94">
        <f t="shared" si="5"/>
        <v>0</v>
      </c>
      <c r="AD71" s="94">
        <f t="shared" si="5"/>
        <v>0</v>
      </c>
      <c r="AE71" s="94">
        <f t="shared" si="5"/>
        <v>0</v>
      </c>
      <c r="AF71" s="94">
        <f t="shared" si="5"/>
        <v>0</v>
      </c>
      <c r="AG71" s="94">
        <f t="shared" si="5"/>
        <v>0</v>
      </c>
      <c r="AH71" s="94">
        <f t="shared" si="5"/>
        <v>0</v>
      </c>
      <c r="AI71" s="94">
        <f t="shared" si="5"/>
        <v>0</v>
      </c>
      <c r="AJ71" s="94">
        <f t="shared" si="5"/>
        <v>0</v>
      </c>
      <c r="AK71" s="94">
        <f t="shared" si="5"/>
        <v>0</v>
      </c>
      <c r="AL71" s="94">
        <f t="shared" si="5"/>
        <v>0</v>
      </c>
      <c r="AM71" s="6"/>
      <c r="AO71" s="109" t="str">
        <f>IF(controle_formulario!$C$39=1,"Ocultar","")</f>
        <v>Ocultar</v>
      </c>
      <c r="AQ71" s="109"/>
    </row>
    <row r="72" spans="2:43" ht="4.5" hidden="1" customHeight="1" x14ac:dyDescent="0.3">
      <c r="B72" s="5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3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6"/>
      <c r="AO72" s="109" t="str">
        <f>IF(controle_formulario!$C$39=1,"Ocultar","")</f>
        <v>Ocultar</v>
      </c>
      <c r="AQ72" s="109"/>
    </row>
    <row r="73" spans="2:43" ht="14.4" hidden="1" customHeight="1" x14ac:dyDescent="0.3">
      <c r="B73" s="5"/>
      <c r="H73" s="11"/>
      <c r="L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C73" s="173">
        <f>SUM(AC62:AC71)</f>
        <v>0</v>
      </c>
      <c r="AD73" s="173">
        <f t="shared" ref="AD73:AL73" si="6">SUM(AD62:AD71)</f>
        <v>0</v>
      </c>
      <c r="AE73" s="173">
        <f t="shared" si="6"/>
        <v>0</v>
      </c>
      <c r="AF73" s="173">
        <f t="shared" si="6"/>
        <v>0</v>
      </c>
      <c r="AG73" s="173">
        <f t="shared" si="6"/>
        <v>0</v>
      </c>
      <c r="AH73" s="27">
        <f t="shared" si="6"/>
        <v>0</v>
      </c>
      <c r="AI73" s="27">
        <f t="shared" si="6"/>
        <v>0</v>
      </c>
      <c r="AJ73" s="27">
        <f t="shared" si="6"/>
        <v>0</v>
      </c>
      <c r="AK73" s="27">
        <f t="shared" si="6"/>
        <v>0</v>
      </c>
      <c r="AL73" s="27">
        <f t="shared" si="6"/>
        <v>0</v>
      </c>
      <c r="AM73" s="6"/>
      <c r="AO73" s="109" t="str">
        <f>IF(controle_formulario!$C$39=1,"Ocultar","")</f>
        <v>Ocultar</v>
      </c>
      <c r="AQ73" s="109"/>
    </row>
    <row r="74" spans="2:43" ht="14.4" hidden="1" customHeight="1" x14ac:dyDescent="0.3">
      <c r="B74" s="5"/>
      <c r="AM74" s="6"/>
      <c r="AO74" s="109" t="str">
        <f>IF(controle_formulario!$C$39=1,"Ocultar","")</f>
        <v>Ocultar</v>
      </c>
      <c r="AQ74" s="109"/>
    </row>
    <row r="75" spans="2:43" hidden="1" x14ac:dyDescent="0.3">
      <c r="B75" s="5"/>
      <c r="C75" s="1" t="s">
        <v>28</v>
      </c>
      <c r="D75" s="313" t="s">
        <v>128</v>
      </c>
      <c r="E75" s="314"/>
      <c r="F75" s="314"/>
      <c r="G75" s="314"/>
      <c r="H75" s="314"/>
      <c r="I75" s="314"/>
      <c r="J75" s="314"/>
      <c r="K75" s="314"/>
      <c r="L75" s="314"/>
      <c r="M75" s="315"/>
      <c r="AM75" s="6"/>
      <c r="AO75" s="109" t="str">
        <f>IF(controle_formulario!$C$39=1,"Ocultar","")</f>
        <v>Ocultar</v>
      </c>
      <c r="AQ75" s="109"/>
    </row>
    <row r="76" spans="2:43" ht="60" hidden="1" customHeight="1" x14ac:dyDescent="0.3">
      <c r="B76" s="5"/>
      <c r="C76" s="308"/>
      <c r="D76" s="308"/>
      <c r="E76" s="308"/>
      <c r="F76" s="308"/>
      <c r="G76" s="308"/>
      <c r="H76" s="308"/>
      <c r="I76" s="308"/>
      <c r="J76" s="308"/>
      <c r="K76" s="308"/>
      <c r="L76" s="308"/>
      <c r="M76" s="308"/>
      <c r="N76" s="308"/>
      <c r="O76" s="308"/>
      <c r="P76" s="308"/>
      <c r="Q76" s="308"/>
      <c r="R76" s="308"/>
      <c r="S76" s="308"/>
      <c r="T76" s="308"/>
      <c r="U76" s="308"/>
      <c r="V76" s="308"/>
      <c r="W76" s="308"/>
      <c r="X76" s="308"/>
      <c r="Y76" s="308"/>
      <c r="Z76" s="308"/>
      <c r="AA76" s="308"/>
      <c r="AB76" s="308"/>
      <c r="AC76" s="308"/>
      <c r="AD76" s="308"/>
      <c r="AE76" s="308"/>
      <c r="AF76" s="308"/>
      <c r="AG76" s="308"/>
      <c r="AH76" s="13"/>
      <c r="AI76" s="13"/>
      <c r="AJ76" s="13"/>
      <c r="AK76" s="13"/>
      <c r="AL76" s="13"/>
      <c r="AM76" s="6"/>
      <c r="AO76" s="109" t="str">
        <f>IF(controle_formulario!$C$39=1,"Ocultar","")</f>
        <v>Ocultar</v>
      </c>
      <c r="AQ76" s="109"/>
    </row>
    <row r="77" spans="2:43" hidden="1" x14ac:dyDescent="0.3">
      <c r="B77" s="5"/>
      <c r="C77" s="13"/>
      <c r="D77" s="19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6"/>
      <c r="AO77" s="109" t="str">
        <f>IF(controle_formulario!$C$39=1,"Ocultar","")</f>
        <v>Ocultar</v>
      </c>
      <c r="AQ77" s="109"/>
    </row>
    <row r="78" spans="2:43" hidden="1" x14ac:dyDescent="0.3">
      <c r="B78" s="5"/>
      <c r="C78" s="13"/>
      <c r="D78" s="19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6"/>
      <c r="AO78" s="109" t="str">
        <f>IF(controle_formulario!$C$39=1,"Ocultar","")</f>
        <v>Ocultar</v>
      </c>
      <c r="AQ78" s="109"/>
    </row>
    <row r="79" spans="2:43" hidden="1" x14ac:dyDescent="0.3">
      <c r="B79" s="5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M79" s="6"/>
      <c r="AO79" s="109" t="str">
        <f>IF(controle_formulario!$C$39=1,"Ocultar","")</f>
        <v>Ocultar</v>
      </c>
      <c r="AQ79" s="109"/>
    </row>
    <row r="80" spans="2:43" hidden="1" x14ac:dyDescent="0.3">
      <c r="B80" s="5"/>
      <c r="AM80" s="6"/>
      <c r="AO80" s="109" t="str">
        <f>IF(controle_formulario!$C$39=1,"Ocultar","")</f>
        <v>Ocultar</v>
      </c>
      <c r="AQ80" s="109"/>
    </row>
    <row r="81" spans="2:43" hidden="1" x14ac:dyDescent="0.3">
      <c r="B81" s="7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9"/>
      <c r="AO81" s="109" t="str">
        <f>IF(controle_formulario!$C$39=1,"Ocultar","")</f>
        <v>Ocultar</v>
      </c>
      <c r="AQ81" s="109"/>
    </row>
    <row r="82" spans="2:43" x14ac:dyDescent="0.3">
      <c r="AQ82" s="109"/>
    </row>
    <row r="83" spans="2:43" x14ac:dyDescent="0.3">
      <c r="B83" s="2"/>
      <c r="C83" s="96"/>
      <c r="D83" s="96"/>
      <c r="E83" s="96"/>
      <c r="F83" s="96"/>
      <c r="G83" s="96"/>
      <c r="H83" s="26"/>
      <c r="I83" s="97"/>
      <c r="J83" s="3"/>
      <c r="K83" s="96"/>
      <c r="L83" s="96"/>
      <c r="M83" s="98"/>
    </row>
    <row r="84" spans="2:43" x14ac:dyDescent="0.3">
      <c r="B84" s="5"/>
      <c r="C84" s="301" t="s">
        <v>63</v>
      </c>
      <c r="D84" s="301"/>
      <c r="E84" s="301"/>
      <c r="F84" s="301"/>
      <c r="G84" s="301"/>
      <c r="H84" s="301"/>
      <c r="I84" s="95"/>
      <c r="J84" s="8"/>
      <c r="K84" s="35"/>
      <c r="L84" s="35"/>
      <c r="M84" s="55"/>
    </row>
    <row r="85" spans="2:43" x14ac:dyDescent="0.3">
      <c r="B85" s="5"/>
      <c r="G85" s="10"/>
      <c r="H85" s="15"/>
      <c r="I85" s="12"/>
      <c r="M85" s="55"/>
    </row>
    <row r="86" spans="2:43" x14ac:dyDescent="0.3">
      <c r="B86" s="5"/>
      <c r="G86" s="10" t="s">
        <v>7</v>
      </c>
      <c r="H86" s="15">
        <v>1</v>
      </c>
      <c r="I86" s="12">
        <f ca="1">IF(H86 &lt;= controle_formulario!$I$16,IF(controle_formulario!$C$39 = 1, INDEX($AC$45:$AL$45, H86) + INDEX($AC$27:$AL$27, H86), INDEX($AC$73:$AL$73, H86)),0)</f>
        <v>35.902021176061034</v>
      </c>
      <c r="M86" s="6"/>
    </row>
    <row r="87" spans="2:43" x14ac:dyDescent="0.3">
      <c r="B87" s="5"/>
      <c r="G87" s="10" t="s">
        <v>8</v>
      </c>
      <c r="H87" s="15">
        <v>2</v>
      </c>
      <c r="I87" s="12">
        <f ca="1">IF(H87 &lt;= controle_formulario!$I$16,IF(controle_formulario!$C$39 = 1, INDEX($AC$45:$AL$45, H87) + INDEX($AC$27:$AL$27, H87), INDEX($AC$73:$AL$73, H87)),0)</f>
        <v>36.027114594978322</v>
      </c>
      <c r="M87" s="6"/>
      <c r="AO87" s="140" t="str">
        <f>(IF(OR(AP87&gt;controle_formulario!$I$16),"Ocultar",""))</f>
        <v/>
      </c>
      <c r="AP87" s="109">
        <v>2</v>
      </c>
      <c r="AQ87" s="109"/>
    </row>
    <row r="88" spans="2:43" x14ac:dyDescent="0.3">
      <c r="B88" s="5"/>
      <c r="G88" s="10" t="s">
        <v>9</v>
      </c>
      <c r="H88" s="15">
        <v>3</v>
      </c>
      <c r="I88" s="12">
        <f ca="1">IF(H88 &lt;= controle_formulario!$I$16,IF(controle_formulario!$C$39 = 1, INDEX($AC$45:$AL$45, H88) + INDEX($AC$27:$AL$27, H88), INDEX($AC$73:$AL$73, H88)),0)</f>
        <v>36.142742272880319</v>
      </c>
      <c r="M88" s="6"/>
      <c r="AO88" s="140" t="str">
        <f>(IF(OR(AP88&gt;controle_formulario!$I$16),"Ocultar",""))</f>
        <v/>
      </c>
      <c r="AP88" s="109">
        <v>3</v>
      </c>
      <c r="AQ88" s="109"/>
    </row>
    <row r="89" spans="2:43" x14ac:dyDescent="0.3">
      <c r="B89" s="5"/>
      <c r="G89" s="10" t="s">
        <v>10</v>
      </c>
      <c r="H89" s="15">
        <v>4</v>
      </c>
      <c r="I89" s="12">
        <f ca="1">IF(H89 &lt;= controle_formulario!$I$16,IF(controle_formulario!$C$39 = 1, INDEX($AC$45:$AL$45, H89) + INDEX($AC$27:$AL$27, H89), INDEX($AC$73:$AL$73, H89)),0)</f>
        <v>36.250027878529522</v>
      </c>
      <c r="M89" s="6"/>
      <c r="AO89" s="140" t="str">
        <f>(IF(OR(AP89&gt;controle_formulario!$I$16),"Ocultar",""))</f>
        <v/>
      </c>
      <c r="AP89" s="109">
        <v>4</v>
      </c>
      <c r="AQ89" s="109"/>
    </row>
    <row r="90" spans="2:43" x14ac:dyDescent="0.3">
      <c r="B90" s="5"/>
      <c r="G90" s="10" t="s">
        <v>11</v>
      </c>
      <c r="H90" s="15">
        <v>5</v>
      </c>
      <c r="I90" s="12">
        <f ca="1">IF(H90 &lt;= controle_formulario!$I$16,IF(controle_formulario!$C$39 = 1, INDEX($AC$45:$AL$45, H90) + INDEX($AC$27:$AL$27, H90), INDEX($AC$73:$AL$73, H90)),0)</f>
        <v>36.350592396534239</v>
      </c>
      <c r="M90" s="6"/>
      <c r="AO90" s="140" t="str">
        <f>(IF(OR(AP90&gt;controle_formulario!$I$16),"Ocultar",""))</f>
        <v/>
      </c>
      <c r="AP90" s="109">
        <v>5</v>
      </c>
      <c r="AQ90" s="109"/>
    </row>
    <row r="91" spans="2:43" hidden="1" x14ac:dyDescent="0.3">
      <c r="B91" s="5"/>
      <c r="G91" s="10" t="s">
        <v>12</v>
      </c>
      <c r="H91" s="15">
        <v>6</v>
      </c>
      <c r="I91" s="12">
        <f>IF(H91 &lt;= controle_formulario!$I$16,IF(controle_formulario!$C$39 = 1, INDEX($AC$45:$AL$45, H91) + INDEX($AC$27:$AL$27, H91), INDEX($AC$73:$AL$73, H91)),0)</f>
        <v>0</v>
      </c>
      <c r="M91" s="6"/>
      <c r="AO91" s="140" t="str">
        <f>(IF(OR(AP91&gt;controle_formulario!$I$16),"Ocultar",""))</f>
        <v>Ocultar</v>
      </c>
      <c r="AP91" s="109">
        <v>6</v>
      </c>
      <c r="AQ91" s="109"/>
    </row>
    <row r="92" spans="2:43" hidden="1" x14ac:dyDescent="0.3">
      <c r="B92" s="5"/>
      <c r="G92" s="10" t="s">
        <v>13</v>
      </c>
      <c r="H92" s="15">
        <v>7</v>
      </c>
      <c r="I92" s="12">
        <f>IF(H92 &lt;= controle_formulario!$I$16,IF(controle_formulario!$C$39 = 1, INDEX($AC$45:$AL$45, H92) + INDEX($AC$27:$AL$27, H92), INDEX($AC$73:$AL$73, H92)),0)</f>
        <v>0</v>
      </c>
      <c r="M92" s="6"/>
      <c r="AO92" s="140" t="str">
        <f>(IF(OR(AP92&gt;controle_formulario!$I$16),"Ocultar",""))</f>
        <v>Ocultar</v>
      </c>
      <c r="AP92" s="109">
        <v>7</v>
      </c>
      <c r="AQ92" s="109"/>
    </row>
    <row r="93" spans="2:43" hidden="1" x14ac:dyDescent="0.3">
      <c r="B93" s="5"/>
      <c r="G93" s="10" t="s">
        <v>14</v>
      </c>
      <c r="H93" s="15">
        <v>8</v>
      </c>
      <c r="I93" s="12">
        <f>IF(H93 &lt;= controle_formulario!$I$16,IF(controle_formulario!$C$39 = 1, INDEX($AC$45:$AL$45, H93) + INDEX($AC$27:$AL$27, H93), INDEX($AC$73:$AL$73, H93)),0)</f>
        <v>0</v>
      </c>
      <c r="M93" s="6"/>
      <c r="AO93" s="140" t="str">
        <f>(IF(OR(AP93&gt;controle_formulario!$I$16),"Ocultar",""))</f>
        <v>Ocultar</v>
      </c>
      <c r="AP93" s="109">
        <v>8</v>
      </c>
      <c r="AQ93" s="109"/>
    </row>
    <row r="94" spans="2:43" hidden="1" x14ac:dyDescent="0.3">
      <c r="B94" s="5"/>
      <c r="G94" s="10" t="s">
        <v>15</v>
      </c>
      <c r="H94" s="15">
        <v>9</v>
      </c>
      <c r="I94" s="12">
        <f>IF(H94 &lt;= controle_formulario!$I$16,IF(controle_formulario!$C$39 = 1, INDEX($AC$45:$AL$45, H94) + INDEX($AC$27:$AL$27, H94), INDEX($AC$73:$AL$73, H94)),0)</f>
        <v>0</v>
      </c>
      <c r="M94" s="6"/>
      <c r="AO94" s="140" t="str">
        <f>(IF(OR(AP94&gt;controle_formulario!$I$16),"Ocultar",""))</f>
        <v>Ocultar</v>
      </c>
      <c r="AP94" s="109">
        <v>9</v>
      </c>
      <c r="AQ94" s="109"/>
    </row>
    <row r="95" spans="2:43" hidden="1" x14ac:dyDescent="0.3">
      <c r="B95" s="5"/>
      <c r="G95" s="35" t="s">
        <v>16</v>
      </c>
      <c r="H95" s="36">
        <v>10</v>
      </c>
      <c r="I95" s="12">
        <f>IF(H95 &lt;= controle_formulario!$I$16,IF(controle_formulario!$C$39 = 1, INDEX($AC$45:$AL$45, H95) + INDEX($AC$27:$AL$27, H95), INDEX($AC$73:$AL$73, H95)),0)</f>
        <v>0</v>
      </c>
      <c r="M95" s="6"/>
      <c r="AO95" s="140" t="str">
        <f>(IF(OR(AP95&gt;controle_formulario!$I$16),"Ocultar",""))</f>
        <v>Ocultar</v>
      </c>
      <c r="AP95" s="109">
        <v>10</v>
      </c>
      <c r="AQ95" s="109"/>
    </row>
    <row r="96" spans="2:43" x14ac:dyDescent="0.3">
      <c r="B96" s="5"/>
      <c r="G96" s="76" t="s">
        <v>122</v>
      </c>
      <c r="H96" s="26"/>
      <c r="I96" s="170">
        <f ca="1">SUM(I86:I95)/(IF(I86&gt;0,1)+IF(I87&gt;0,1)+IF(I88&gt;0,1)+IF(I89&gt;0,1)+IF(I90&gt;0,1)+IF(I91&gt;0,1)+IF(I92&gt;0,1)+IF(I93&gt;0,1)+IF(I94&gt;0,1)+IF(I95&gt;0,1))</f>
        <v>36.134499663796689</v>
      </c>
      <c r="M96" s="6"/>
    </row>
    <row r="97" spans="2:13" x14ac:dyDescent="0.3">
      <c r="B97" s="5"/>
      <c r="M97" s="6"/>
    </row>
    <row r="98" spans="2:13" x14ac:dyDescent="0.3">
      <c r="B98" s="7"/>
      <c r="C98" s="8"/>
      <c r="D98" s="8"/>
      <c r="E98" s="8"/>
      <c r="F98" s="8"/>
      <c r="G98" s="8"/>
      <c r="H98" s="8"/>
      <c r="I98" s="8"/>
      <c r="J98" s="8"/>
      <c r="K98" s="8"/>
      <c r="L98" s="8"/>
      <c r="M98" s="9"/>
    </row>
    <row r="199" spans="30:40" x14ac:dyDescent="0.3">
      <c r="AD199" s="109">
        <v>2</v>
      </c>
      <c r="AE199" s="109">
        <v>3</v>
      </c>
      <c r="AF199" s="109">
        <v>4</v>
      </c>
      <c r="AG199" s="109">
        <v>5</v>
      </c>
      <c r="AH199" s="109">
        <v>6</v>
      </c>
      <c r="AI199" s="109">
        <v>7</v>
      </c>
      <c r="AJ199" s="109">
        <v>8</v>
      </c>
      <c r="AK199" s="109">
        <v>9</v>
      </c>
      <c r="AL199" s="109">
        <v>10</v>
      </c>
    </row>
    <row r="200" spans="30:40" x14ac:dyDescent="0.3">
      <c r="AD200" s="109" t="str">
        <f>IF(AD199&gt;controle_formulario!$I$16,"Ocultar","")</f>
        <v/>
      </c>
      <c r="AE200" s="109" t="str">
        <f>IF(AE199&gt;controle_formulario!$I$16,"Ocultar","")</f>
        <v/>
      </c>
      <c r="AF200" s="109" t="str">
        <f>IF(AF199&gt;controle_formulario!$I$16,"Ocultar","")</f>
        <v/>
      </c>
      <c r="AG200" s="109" t="str">
        <f>IF(AG199&gt;controle_formulario!$I$16,"Ocultar","")</f>
        <v/>
      </c>
      <c r="AH200" s="109" t="str">
        <f>IF(AH199&gt;controle_formulario!$I$16,"Ocultar","")</f>
        <v>Ocultar</v>
      </c>
      <c r="AI200" s="109" t="str">
        <f>IF(AI199&gt;controle_formulario!$I$16,"Ocultar","")</f>
        <v>Ocultar</v>
      </c>
      <c r="AJ200" s="109" t="str">
        <f>IF(AJ199&gt;controle_formulario!$I$16,"Ocultar","")</f>
        <v>Ocultar</v>
      </c>
      <c r="AK200" s="109" t="str">
        <f>IF(AK199&gt;controle_formulario!$I$16,"Ocultar","")</f>
        <v>Ocultar</v>
      </c>
      <c r="AL200" s="109" t="str">
        <f>IF(AL199&gt;controle_formulario!$I$16,"Ocultar","")</f>
        <v>Ocultar</v>
      </c>
      <c r="AM200" s="109"/>
      <c r="AN200" s="109" t="str">
        <f>IF(AN199&gt;controle_formulario!$I$16,"Ocultar","")</f>
        <v/>
      </c>
    </row>
  </sheetData>
  <mergeCells count="25">
    <mergeCell ref="D75:M75"/>
    <mergeCell ref="G5:W6"/>
    <mergeCell ref="G2:W3"/>
    <mergeCell ref="G13:Y13"/>
    <mergeCell ref="G31:Y31"/>
    <mergeCell ref="C8:G8"/>
    <mergeCell ref="C14:E14"/>
    <mergeCell ref="C66:E66"/>
    <mergeCell ref="D47:M47"/>
    <mergeCell ref="C84:H84"/>
    <mergeCell ref="I59:AA59"/>
    <mergeCell ref="C62:E62"/>
    <mergeCell ref="C60:E60"/>
    <mergeCell ref="C32:E32"/>
    <mergeCell ref="C48:AG52"/>
    <mergeCell ref="C76:AG76"/>
    <mergeCell ref="C71:E71"/>
    <mergeCell ref="C67:E67"/>
    <mergeCell ref="C68:E68"/>
    <mergeCell ref="C69:E69"/>
    <mergeCell ref="C70:E70"/>
    <mergeCell ref="C56:G56"/>
    <mergeCell ref="C63:E63"/>
    <mergeCell ref="C64:E64"/>
    <mergeCell ref="C65:E65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4" name="Drop Down 3">
              <controlPr defaultSize="0" autoLine="0" autoPict="0" macro="[0]!definicao_pop">
                <anchor moveWithCells="1">
                  <from>
                    <xdr:col>2</xdr:col>
                    <xdr:colOff>38100</xdr:colOff>
                    <xdr:row>2</xdr:row>
                    <xdr:rowOff>144780</xdr:rowOff>
                  </from>
                  <to>
                    <xdr:col>5</xdr:col>
                    <xdr:colOff>22860</xdr:colOff>
                    <xdr:row>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53" r:id="rId5" name="lista_sexo">
              <controlPr defaultSize="0" autoLine="0" autoPict="0" macro="[0]!definicao_pop">
                <anchor moveWithCells="1">
                  <from>
                    <xdr:col>2</xdr:col>
                    <xdr:colOff>388620</xdr:colOff>
                    <xdr:row>11</xdr:row>
                    <xdr:rowOff>0</xdr:rowOff>
                  </from>
                  <to>
                    <xdr:col>3</xdr:col>
                    <xdr:colOff>419100</xdr:colOff>
                    <xdr:row>12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4"/>
  <dimension ref="A1:AG200"/>
  <sheetViews>
    <sheetView showGridLines="0" topLeftCell="A99" zoomScaleNormal="100" workbookViewId="0">
      <selection activeCell="M107" sqref="M107"/>
    </sheetView>
  </sheetViews>
  <sheetFormatPr defaultColWidth="8.88671875" defaultRowHeight="14.4" x14ac:dyDescent="0.3"/>
  <cols>
    <col min="2" max="2" width="2" style="56" customWidth="1"/>
    <col min="3" max="3" width="8.44140625" style="56" customWidth="1"/>
    <col min="4" max="4" width="15.109375" style="56" customWidth="1"/>
    <col min="5" max="5" width="16.44140625" style="56" customWidth="1"/>
    <col min="6" max="6" width="13.33203125" style="56" hidden="1" customWidth="1"/>
    <col min="7" max="7" width="0.109375" style="56" customWidth="1"/>
    <col min="8" max="8" width="5.88671875" style="56" hidden="1" customWidth="1"/>
    <col min="9" max="9" width="15.109375" style="56" customWidth="1"/>
    <col min="10" max="10" width="6.6640625" style="56" customWidth="1"/>
    <col min="11" max="11" width="10" style="56" customWidth="1"/>
    <col min="12" max="12" width="19.109375" style="56" customWidth="1"/>
    <col min="13" max="13" width="20.77734375" style="56" customWidth="1"/>
    <col min="14" max="14" width="15" style="56" hidden="1" customWidth="1"/>
    <col min="15" max="15" width="0.21875" style="56" customWidth="1"/>
    <col min="16" max="16" width="0.21875" style="56" hidden="1" customWidth="1"/>
    <col min="17" max="17" width="15.6640625" style="56" customWidth="1"/>
    <col min="18" max="18" width="8.88671875" style="56" customWidth="1"/>
    <col min="20" max="21" width="8.88671875" style="56"/>
    <col min="22" max="22" width="8.88671875" style="56" customWidth="1"/>
    <col min="25" max="26" width="8.88671875" style="56" customWidth="1"/>
    <col min="27" max="27" width="8.88671875" style="56"/>
    <col min="28" max="28" width="8.88671875" style="56" customWidth="1"/>
    <col min="29" max="31" width="8.88671875" style="56"/>
    <col min="32" max="32" width="6.109375" style="56" customWidth="1"/>
    <col min="33" max="33" width="8.88671875" style="110"/>
    <col min="34" max="49" width="8.88671875" style="56"/>
    <col min="50" max="51" width="8.88671875" style="56" customWidth="1"/>
    <col min="52" max="16384" width="8.88671875" style="56"/>
  </cols>
  <sheetData>
    <row r="1" spans="1:33" ht="37.5" customHeight="1" x14ac:dyDescent="0.3"/>
    <row r="2" spans="1:33" x14ac:dyDescent="0.3">
      <c r="A2" s="6"/>
      <c r="B2" s="61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3"/>
    </row>
    <row r="3" spans="1:33" ht="15.6" x14ac:dyDescent="0.3">
      <c r="A3" s="6"/>
      <c r="B3" s="64"/>
      <c r="C3" s="67" t="s">
        <v>45</v>
      </c>
      <c r="R3" s="66"/>
    </row>
    <row r="4" spans="1:33" ht="15.6" x14ac:dyDescent="0.3">
      <c r="A4" s="6"/>
      <c r="B4" s="64"/>
      <c r="C4" s="67"/>
      <c r="R4" s="66"/>
    </row>
    <row r="5" spans="1:33" x14ac:dyDescent="0.3">
      <c r="A5" s="6"/>
      <c r="B5" s="64"/>
      <c r="C5" s="68" t="str">
        <f>cen.ref</f>
        <v>Sem pirtobrutinibe</v>
      </c>
      <c r="D5" s="69"/>
      <c r="E5" s="69"/>
      <c r="K5" s="68" t="str">
        <f>cen.alt1</f>
        <v>Incorporação progressiva- pirtobrutinibe</v>
      </c>
      <c r="L5" s="68"/>
      <c r="M5" s="68"/>
      <c r="N5" s="68"/>
      <c r="O5" s="68"/>
      <c r="P5" s="68"/>
      <c r="Q5" s="68"/>
      <c r="R5" s="66"/>
    </row>
    <row r="6" spans="1:33" s="120" customFormat="1" ht="39.6" customHeight="1" x14ac:dyDescent="0.3">
      <c r="A6" s="116"/>
      <c r="B6" s="117"/>
      <c r="C6" s="118"/>
      <c r="D6" s="119" t="str">
        <f>trat.novo</f>
        <v>Pirtobrutinibe</v>
      </c>
      <c r="E6" s="119" t="str">
        <f>trat.a</f>
        <v xml:space="preserve"> Conjunto de Tratamentos-Padrão</v>
      </c>
      <c r="F6" s="119"/>
      <c r="G6" s="119"/>
      <c r="H6" s="119">
        <f>trat.d</f>
        <v>0</v>
      </c>
      <c r="I6" s="119" t="s">
        <v>29</v>
      </c>
      <c r="K6" s="118"/>
      <c r="L6" s="119" t="str">
        <f>trat.novo</f>
        <v>Pirtobrutinibe</v>
      </c>
      <c r="M6" s="119" t="str">
        <f>trat.a</f>
        <v xml:space="preserve"> Conjunto de Tratamentos-Padrão</v>
      </c>
      <c r="N6" s="119">
        <f>trat.b</f>
        <v>0</v>
      </c>
      <c r="O6" s="119">
        <f>trat.c</f>
        <v>0</v>
      </c>
      <c r="P6" s="119">
        <f>trat.d</f>
        <v>0</v>
      </c>
      <c r="Q6" s="119" t="s">
        <v>29</v>
      </c>
      <c r="R6" s="121"/>
      <c r="S6" s="122"/>
      <c r="W6" s="122"/>
      <c r="X6" s="122"/>
      <c r="AG6" s="123"/>
    </row>
    <row r="7" spans="1:33" ht="5.25" customHeight="1" x14ac:dyDescent="0.3">
      <c r="A7" s="6"/>
      <c r="B7" s="64"/>
      <c r="D7" s="52"/>
      <c r="E7" s="52"/>
      <c r="F7" s="52"/>
      <c r="G7" s="52"/>
      <c r="H7" s="52"/>
      <c r="I7" s="52"/>
      <c r="L7" s="52"/>
      <c r="M7" s="52"/>
      <c r="N7" s="52"/>
      <c r="O7" s="52"/>
      <c r="P7" s="52"/>
      <c r="Q7" s="52"/>
      <c r="R7" s="66"/>
    </row>
    <row r="8" spans="1:33" x14ac:dyDescent="0.3">
      <c r="A8" s="6"/>
      <c r="B8" s="64"/>
      <c r="C8" s="56" t="s">
        <v>18</v>
      </c>
      <c r="D8" s="70">
        <v>0</v>
      </c>
      <c r="E8" s="70">
        <v>0.9</v>
      </c>
      <c r="F8" s="70"/>
      <c r="G8" s="70"/>
      <c r="H8" s="70"/>
      <c r="I8" s="70">
        <f>SUM(D8:H8)</f>
        <v>0.9</v>
      </c>
      <c r="J8" s="69"/>
      <c r="K8" s="56" t="s">
        <v>18</v>
      </c>
      <c r="L8" s="70">
        <v>0.7</v>
      </c>
      <c r="M8" s="70">
        <v>0.3</v>
      </c>
      <c r="N8" s="70"/>
      <c r="O8" s="70"/>
      <c r="P8" s="70"/>
      <c r="Q8" s="70">
        <f>SUM(L8:P8)</f>
        <v>1</v>
      </c>
      <c r="R8" s="66"/>
      <c r="AF8" s="109">
        <v>1</v>
      </c>
      <c r="AG8" s="109"/>
    </row>
    <row r="9" spans="1:33" x14ac:dyDescent="0.3">
      <c r="A9" s="6"/>
      <c r="B9" s="64"/>
      <c r="C9" s="56" t="s">
        <v>19</v>
      </c>
      <c r="D9" s="70">
        <v>0</v>
      </c>
      <c r="E9" s="70">
        <v>0.9</v>
      </c>
      <c r="F9" s="70"/>
      <c r="G9" s="70"/>
      <c r="H9" s="70"/>
      <c r="I9" s="70">
        <f t="shared" ref="I9:I17" si="0">SUM(D9:H9)</f>
        <v>0.9</v>
      </c>
      <c r="J9" s="69"/>
      <c r="K9" s="56" t="s">
        <v>19</v>
      </c>
      <c r="L9" s="70">
        <v>0.75</v>
      </c>
      <c r="M9" s="70">
        <v>0.25</v>
      </c>
      <c r="N9" s="70"/>
      <c r="O9" s="70"/>
      <c r="P9" s="70"/>
      <c r="Q9" s="70">
        <f>SUM(L9:P9)</f>
        <v>1</v>
      </c>
      <c r="R9" s="66"/>
      <c r="AF9" s="109">
        <v>2</v>
      </c>
      <c r="AG9" s="109" t="str">
        <f>(IF(AF9&gt;controle_formulario!$I$16,"Ocultar",""))</f>
        <v/>
      </c>
    </row>
    <row r="10" spans="1:33" x14ac:dyDescent="0.3">
      <c r="A10" s="6"/>
      <c r="B10" s="64"/>
      <c r="C10" s="56" t="s">
        <v>20</v>
      </c>
      <c r="D10" s="70">
        <v>0</v>
      </c>
      <c r="E10" s="70">
        <v>0.9</v>
      </c>
      <c r="F10" s="70"/>
      <c r="G10" s="70"/>
      <c r="H10" s="70"/>
      <c r="I10" s="70">
        <f t="shared" si="0"/>
        <v>0.9</v>
      </c>
      <c r="J10" s="69"/>
      <c r="K10" s="56" t="s">
        <v>20</v>
      </c>
      <c r="L10" s="70">
        <v>0.8</v>
      </c>
      <c r="M10" s="70">
        <v>0.2</v>
      </c>
      <c r="N10" s="70"/>
      <c r="O10" s="70"/>
      <c r="P10" s="70"/>
      <c r="Q10" s="70">
        <f t="shared" ref="Q10:Q17" si="1">SUM(L10:P10)</f>
        <v>1</v>
      </c>
      <c r="R10" s="66"/>
      <c r="AF10" s="109">
        <v>3</v>
      </c>
      <c r="AG10" s="109" t="str">
        <f>(IF(AF10&gt;controle_formulario!$I$16,"Ocultar",""))</f>
        <v/>
      </c>
    </row>
    <row r="11" spans="1:33" x14ac:dyDescent="0.3">
      <c r="A11" s="6"/>
      <c r="B11" s="64"/>
      <c r="C11" s="56" t="s">
        <v>21</v>
      </c>
      <c r="D11" s="70">
        <v>0</v>
      </c>
      <c r="E11" s="70">
        <v>0.9</v>
      </c>
      <c r="F11" s="70"/>
      <c r="G11" s="70"/>
      <c r="H11" s="70"/>
      <c r="I11" s="70">
        <f t="shared" si="0"/>
        <v>0.9</v>
      </c>
      <c r="J11" s="69"/>
      <c r="K11" s="56" t="s">
        <v>21</v>
      </c>
      <c r="L11" s="70">
        <v>0.85</v>
      </c>
      <c r="M11" s="70">
        <v>0.15</v>
      </c>
      <c r="N11" s="70"/>
      <c r="O11" s="70"/>
      <c r="P11" s="70"/>
      <c r="Q11" s="70">
        <f t="shared" si="1"/>
        <v>1</v>
      </c>
      <c r="R11" s="66"/>
      <c r="AF11" s="109">
        <v>4</v>
      </c>
      <c r="AG11" s="109" t="str">
        <f>(IF(AF11&gt;controle_formulario!$I$16,"Ocultar",""))</f>
        <v/>
      </c>
    </row>
    <row r="12" spans="1:33" x14ac:dyDescent="0.3">
      <c r="A12" s="6"/>
      <c r="B12" s="64"/>
      <c r="C12" s="56" t="s">
        <v>22</v>
      </c>
      <c r="D12" s="70">
        <v>0</v>
      </c>
      <c r="E12" s="70">
        <v>0.9</v>
      </c>
      <c r="F12" s="70"/>
      <c r="G12" s="70"/>
      <c r="H12" s="70"/>
      <c r="I12" s="70">
        <f t="shared" si="0"/>
        <v>0.9</v>
      </c>
      <c r="J12" s="69"/>
      <c r="K12" s="56" t="s">
        <v>22</v>
      </c>
      <c r="L12" s="70">
        <v>0.9</v>
      </c>
      <c r="M12" s="70">
        <v>0.1</v>
      </c>
      <c r="N12" s="70"/>
      <c r="O12" s="70"/>
      <c r="P12" s="70"/>
      <c r="Q12" s="70">
        <f t="shared" si="1"/>
        <v>1</v>
      </c>
      <c r="R12" s="66"/>
      <c r="AF12" s="109">
        <v>5</v>
      </c>
      <c r="AG12" s="109" t="str">
        <f>(IF(AF12&gt;controle_formulario!$I$16,"Ocultar",""))</f>
        <v/>
      </c>
    </row>
    <row r="13" spans="1:33" hidden="1" x14ac:dyDescent="0.3">
      <c r="A13" s="6"/>
      <c r="B13" s="64"/>
      <c r="C13" s="56" t="s">
        <v>23</v>
      </c>
      <c r="D13" s="70">
        <v>0</v>
      </c>
      <c r="E13" s="70"/>
      <c r="F13" s="70"/>
      <c r="G13" s="70"/>
      <c r="H13" s="70"/>
      <c r="I13" s="70">
        <f t="shared" si="0"/>
        <v>0</v>
      </c>
      <c r="J13" s="69"/>
      <c r="K13" s="56" t="s">
        <v>23</v>
      </c>
      <c r="L13" s="70"/>
      <c r="M13" s="70"/>
      <c r="N13" s="70"/>
      <c r="O13" s="70"/>
      <c r="P13" s="70"/>
      <c r="Q13" s="70">
        <f t="shared" si="1"/>
        <v>0</v>
      </c>
      <c r="R13" s="66"/>
      <c r="AF13" s="109">
        <v>6</v>
      </c>
      <c r="AG13" s="109" t="str">
        <f>(IF(AF13&gt;controle_formulario!$I$16,"Ocultar",""))</f>
        <v>Ocultar</v>
      </c>
    </row>
    <row r="14" spans="1:33" hidden="1" x14ac:dyDescent="0.3">
      <c r="A14" s="6"/>
      <c r="B14" s="64"/>
      <c r="C14" s="56" t="s">
        <v>24</v>
      </c>
      <c r="D14" s="70">
        <v>0</v>
      </c>
      <c r="E14" s="70"/>
      <c r="F14" s="70"/>
      <c r="G14" s="70"/>
      <c r="H14" s="70"/>
      <c r="I14" s="70">
        <f t="shared" si="0"/>
        <v>0</v>
      </c>
      <c r="J14" s="69"/>
      <c r="K14" s="56" t="s">
        <v>24</v>
      </c>
      <c r="L14" s="70"/>
      <c r="M14" s="70"/>
      <c r="N14" s="70"/>
      <c r="O14" s="70"/>
      <c r="P14" s="70"/>
      <c r="Q14" s="70">
        <f t="shared" si="1"/>
        <v>0</v>
      </c>
      <c r="R14" s="66"/>
      <c r="AF14" s="109">
        <v>7</v>
      </c>
      <c r="AG14" s="109" t="str">
        <f>(IF(AF14&gt;controle_formulario!$I$16,"Ocultar",""))</f>
        <v>Ocultar</v>
      </c>
    </row>
    <row r="15" spans="1:33" hidden="1" x14ac:dyDescent="0.3">
      <c r="A15" s="6"/>
      <c r="B15" s="64"/>
      <c r="C15" s="56" t="s">
        <v>25</v>
      </c>
      <c r="D15" s="70">
        <v>0</v>
      </c>
      <c r="E15" s="70"/>
      <c r="F15" s="70"/>
      <c r="G15" s="70"/>
      <c r="H15" s="70"/>
      <c r="I15" s="70">
        <f t="shared" si="0"/>
        <v>0</v>
      </c>
      <c r="J15" s="69"/>
      <c r="K15" s="56" t="s">
        <v>25</v>
      </c>
      <c r="L15" s="70"/>
      <c r="M15" s="70"/>
      <c r="N15" s="70"/>
      <c r="O15" s="70"/>
      <c r="P15" s="70"/>
      <c r="Q15" s="70">
        <f t="shared" si="1"/>
        <v>0</v>
      </c>
      <c r="R15" s="66"/>
      <c r="AF15" s="109">
        <v>8</v>
      </c>
      <c r="AG15" s="109" t="str">
        <f>(IF(AF15&gt;controle_formulario!$I$16,"Ocultar",""))</f>
        <v>Ocultar</v>
      </c>
    </row>
    <row r="16" spans="1:33" hidden="1" x14ac:dyDescent="0.3">
      <c r="A16" s="6"/>
      <c r="B16" s="64"/>
      <c r="C16" s="56" t="s">
        <v>26</v>
      </c>
      <c r="D16" s="70">
        <v>0</v>
      </c>
      <c r="E16" s="70"/>
      <c r="F16" s="70"/>
      <c r="G16" s="70"/>
      <c r="H16" s="70"/>
      <c r="I16" s="70">
        <f t="shared" si="0"/>
        <v>0</v>
      </c>
      <c r="J16" s="69"/>
      <c r="K16" s="56" t="s">
        <v>26</v>
      </c>
      <c r="L16" s="70"/>
      <c r="M16" s="70"/>
      <c r="N16" s="70"/>
      <c r="O16" s="70"/>
      <c r="P16" s="70"/>
      <c r="Q16" s="70">
        <f t="shared" si="1"/>
        <v>0</v>
      </c>
      <c r="R16" s="66"/>
      <c r="AF16" s="109">
        <v>9</v>
      </c>
      <c r="AG16" s="109" t="str">
        <f>(IF(AF16&gt;controle_formulario!$I$16,"Ocultar",""))</f>
        <v>Ocultar</v>
      </c>
    </row>
    <row r="17" spans="1:33" hidden="1" x14ac:dyDescent="0.3">
      <c r="A17" s="6"/>
      <c r="B17" s="64"/>
      <c r="C17" s="56" t="s">
        <v>27</v>
      </c>
      <c r="D17" s="70">
        <v>0</v>
      </c>
      <c r="E17" s="70"/>
      <c r="F17" s="70"/>
      <c r="G17" s="70"/>
      <c r="H17" s="70"/>
      <c r="I17" s="70">
        <f t="shared" si="0"/>
        <v>0</v>
      </c>
      <c r="J17" s="69"/>
      <c r="K17" s="56" t="s">
        <v>27</v>
      </c>
      <c r="L17" s="70"/>
      <c r="M17" s="70"/>
      <c r="N17" s="70"/>
      <c r="O17" s="70"/>
      <c r="P17" s="70"/>
      <c r="Q17" s="70">
        <f t="shared" si="1"/>
        <v>0</v>
      </c>
      <c r="R17" s="66"/>
      <c r="AF17" s="109">
        <v>10</v>
      </c>
      <c r="AG17" s="109" t="str">
        <f>(IF(AF17&gt;controle_formulario!$I$16,"Ocultar",""))</f>
        <v>Ocultar</v>
      </c>
    </row>
    <row r="18" spans="1:33" ht="16.5" customHeight="1" x14ac:dyDescent="0.3">
      <c r="A18" s="6"/>
      <c r="B18" s="64"/>
      <c r="R18" s="66"/>
    </row>
    <row r="19" spans="1:33" x14ac:dyDescent="0.3">
      <c r="A19" s="6"/>
      <c r="B19" s="64"/>
      <c r="R19" s="66"/>
    </row>
    <row r="20" spans="1:33" ht="15.6" x14ac:dyDescent="0.3">
      <c r="A20" s="6"/>
      <c r="B20" s="64"/>
      <c r="C20" s="67"/>
      <c r="L20" s="158"/>
      <c r="M20" s="158"/>
      <c r="N20" s="158"/>
      <c r="O20" s="158"/>
      <c r="P20" s="158"/>
      <c r="Q20" s="158"/>
      <c r="R20" s="159"/>
    </row>
    <row r="21" spans="1:33" hidden="1" x14ac:dyDescent="0.3">
      <c r="A21" s="6"/>
      <c r="B21" s="64"/>
      <c r="C21" s="68">
        <f>cen.alt2</f>
        <v>0</v>
      </c>
      <c r="D21" s="69"/>
      <c r="E21" s="69"/>
      <c r="K21" s="68" t="str">
        <f>cen.alt3</f>
        <v>Taxa de difusão em X anos: XX%</v>
      </c>
      <c r="L21" s="158"/>
      <c r="M21" s="158"/>
      <c r="N21" s="158"/>
      <c r="O21" s="158"/>
      <c r="P21" s="158"/>
      <c r="Q21" s="158"/>
      <c r="R21" s="159"/>
      <c r="AG21" s="109" t="str">
        <f>IF($C$22&gt;controle_formulario!$E$16,"Ocultar","")</f>
        <v>Ocultar</v>
      </c>
    </row>
    <row r="22" spans="1:33" s="120" customFormat="1" ht="43.2" hidden="1" x14ac:dyDescent="0.3">
      <c r="A22" s="116"/>
      <c r="B22" s="117"/>
      <c r="C22" s="124">
        <v>2</v>
      </c>
      <c r="D22" s="119" t="str">
        <f>trat.novo</f>
        <v>Pirtobrutinibe</v>
      </c>
      <c r="E22" s="119" t="str">
        <f>trat.a</f>
        <v xml:space="preserve"> Conjunto de Tratamentos-Padrão</v>
      </c>
      <c r="F22" s="119">
        <f>trat.b</f>
        <v>0</v>
      </c>
      <c r="G22" s="119">
        <f>trat.c</f>
        <v>0</v>
      </c>
      <c r="H22" s="119">
        <f>trat.d</f>
        <v>0</v>
      </c>
      <c r="I22" s="119" t="s">
        <v>29</v>
      </c>
      <c r="K22" s="124">
        <v>3</v>
      </c>
      <c r="L22" s="119" t="str">
        <f>trat.novo</f>
        <v>Pirtobrutinibe</v>
      </c>
      <c r="M22" s="119" t="str">
        <f>trat.a</f>
        <v xml:space="preserve"> Conjunto de Tratamentos-Padrão</v>
      </c>
      <c r="N22" s="119">
        <f>trat.b</f>
        <v>0</v>
      </c>
      <c r="O22" s="119">
        <f>trat.c</f>
        <v>0</v>
      </c>
      <c r="P22" s="119">
        <f>trat.d</f>
        <v>0</v>
      </c>
      <c r="Q22" s="119" t="s">
        <v>29</v>
      </c>
      <c r="R22" s="121"/>
      <c r="S22" s="122"/>
      <c r="W22" s="122"/>
      <c r="X22" s="122"/>
      <c r="AG22" s="125" t="str">
        <f>IF($C$22&gt;controle_formulario!$E$16,"Ocultar","")</f>
        <v>Ocultar</v>
      </c>
    </row>
    <row r="23" spans="1:33" ht="5.25" hidden="1" customHeight="1" x14ac:dyDescent="0.3">
      <c r="A23" s="6"/>
      <c r="B23" s="64"/>
      <c r="D23" s="52"/>
      <c r="E23" s="52"/>
      <c r="F23" s="52"/>
      <c r="G23" s="52"/>
      <c r="H23" s="52"/>
      <c r="I23" s="52"/>
      <c r="L23" s="52"/>
      <c r="M23" s="52"/>
      <c r="N23" s="52"/>
      <c r="O23" s="52"/>
      <c r="P23" s="52"/>
      <c r="Q23" s="52"/>
      <c r="R23" s="66"/>
      <c r="AG23" s="109" t="str">
        <f>IF($C$22&gt;controle_formulario!$E$16,"Ocultar","")</f>
        <v>Ocultar</v>
      </c>
    </row>
    <row r="24" spans="1:33" hidden="1" x14ac:dyDescent="0.3">
      <c r="A24" s="6"/>
      <c r="B24" s="64"/>
      <c r="C24" s="56" t="s">
        <v>18</v>
      </c>
      <c r="D24" s="70">
        <v>0.8</v>
      </c>
      <c r="E24" s="70">
        <v>0.2</v>
      </c>
      <c r="F24" s="70"/>
      <c r="G24" s="70"/>
      <c r="H24" s="70"/>
      <c r="I24" s="70">
        <f t="shared" ref="I24:I33" si="2">SUM(D24:H24)</f>
        <v>1</v>
      </c>
      <c r="J24" s="69"/>
      <c r="K24" s="56" t="s">
        <v>18</v>
      </c>
      <c r="L24" s="70"/>
      <c r="M24" s="70"/>
      <c r="N24" s="70"/>
      <c r="O24" s="70"/>
      <c r="P24" s="70"/>
      <c r="Q24" s="70">
        <f t="shared" ref="Q24:Q33" si="3">SUM(L24:P24)</f>
        <v>0</v>
      </c>
      <c r="R24" s="66"/>
      <c r="AF24" s="109">
        <v>1</v>
      </c>
      <c r="AG24" s="109" t="str">
        <f>IF($C$22&gt;controle_formulario!$E$16,"Ocultar","")</f>
        <v>Ocultar</v>
      </c>
    </row>
    <row r="25" spans="1:33" hidden="1" x14ac:dyDescent="0.3">
      <c r="A25" s="6"/>
      <c r="B25" s="64"/>
      <c r="C25" s="56" t="s">
        <v>19</v>
      </c>
      <c r="D25" s="70">
        <v>0.9</v>
      </c>
      <c r="E25" s="70">
        <v>0.1</v>
      </c>
      <c r="F25" s="70"/>
      <c r="G25" s="70"/>
      <c r="H25" s="70"/>
      <c r="I25" s="70">
        <f t="shared" si="2"/>
        <v>1</v>
      </c>
      <c r="J25" s="69"/>
      <c r="K25" s="56" t="s">
        <v>19</v>
      </c>
      <c r="L25" s="70"/>
      <c r="M25" s="70"/>
      <c r="N25" s="70"/>
      <c r="O25" s="70"/>
      <c r="P25" s="70"/>
      <c r="Q25" s="70">
        <f t="shared" si="3"/>
        <v>0</v>
      </c>
      <c r="R25" s="66"/>
      <c r="AF25" s="109">
        <v>2</v>
      </c>
      <c r="AG25" s="109" t="str">
        <f>(IF(OR(AF25&gt;controle_formulario!$I$16,$C$22&gt;controle_formulario!$E$16),"Ocultar",""))</f>
        <v>Ocultar</v>
      </c>
    </row>
    <row r="26" spans="1:33" hidden="1" x14ac:dyDescent="0.3">
      <c r="A26" s="6"/>
      <c r="B26" s="64"/>
      <c r="C26" s="56" t="s">
        <v>20</v>
      </c>
      <c r="D26" s="70">
        <v>0.9</v>
      </c>
      <c r="E26" s="70">
        <v>0.1</v>
      </c>
      <c r="F26" s="70"/>
      <c r="G26" s="70"/>
      <c r="H26" s="70"/>
      <c r="I26" s="70">
        <f t="shared" si="2"/>
        <v>1</v>
      </c>
      <c r="J26" s="69"/>
      <c r="K26" s="56" t="s">
        <v>20</v>
      </c>
      <c r="L26" s="70"/>
      <c r="M26" s="70"/>
      <c r="N26" s="70"/>
      <c r="O26" s="70"/>
      <c r="P26" s="70"/>
      <c r="Q26" s="70">
        <f t="shared" si="3"/>
        <v>0</v>
      </c>
      <c r="R26" s="66"/>
      <c r="AF26" s="109">
        <v>3</v>
      </c>
      <c r="AG26" s="109" t="str">
        <f>(IF(OR(AF26&gt;controle_formulario!$I$16,$C$22&gt;controle_formulario!$E$16),"Ocultar",""))</f>
        <v>Ocultar</v>
      </c>
    </row>
    <row r="27" spans="1:33" hidden="1" x14ac:dyDescent="0.3">
      <c r="A27" s="6"/>
      <c r="B27" s="64"/>
      <c r="C27" s="56" t="s">
        <v>21</v>
      </c>
      <c r="D27" s="70">
        <v>0.9</v>
      </c>
      <c r="E27" s="70">
        <v>0.1</v>
      </c>
      <c r="F27" s="70"/>
      <c r="G27" s="70"/>
      <c r="H27" s="70"/>
      <c r="I27" s="70">
        <f t="shared" si="2"/>
        <v>1</v>
      </c>
      <c r="J27" s="69"/>
      <c r="K27" s="56" t="s">
        <v>21</v>
      </c>
      <c r="L27" s="70"/>
      <c r="M27" s="70"/>
      <c r="N27" s="70"/>
      <c r="O27" s="70"/>
      <c r="P27" s="70"/>
      <c r="Q27" s="70">
        <f t="shared" si="3"/>
        <v>0</v>
      </c>
      <c r="R27" s="66"/>
      <c r="AF27" s="109">
        <v>4</v>
      </c>
      <c r="AG27" s="109" t="str">
        <f>(IF(OR(AF27&gt;controle_formulario!$I$16,$C$22&gt;controle_formulario!$E$16),"Ocultar",""))</f>
        <v>Ocultar</v>
      </c>
    </row>
    <row r="28" spans="1:33" hidden="1" x14ac:dyDescent="0.3">
      <c r="A28" s="6"/>
      <c r="B28" s="64"/>
      <c r="C28" s="56" t="s">
        <v>22</v>
      </c>
      <c r="D28" s="70">
        <v>0.9</v>
      </c>
      <c r="E28" s="70">
        <v>0.1</v>
      </c>
      <c r="F28" s="70"/>
      <c r="G28" s="70"/>
      <c r="H28" s="70"/>
      <c r="I28" s="70">
        <f t="shared" si="2"/>
        <v>1</v>
      </c>
      <c r="J28" s="69"/>
      <c r="K28" s="56" t="s">
        <v>22</v>
      </c>
      <c r="L28" s="70"/>
      <c r="M28" s="70"/>
      <c r="N28" s="70"/>
      <c r="O28" s="70"/>
      <c r="P28" s="70"/>
      <c r="Q28" s="70">
        <f t="shared" si="3"/>
        <v>0</v>
      </c>
      <c r="R28" s="66"/>
      <c r="AF28" s="109">
        <v>5</v>
      </c>
      <c r="AG28" s="109" t="str">
        <f>(IF(OR(AF28&gt;controle_formulario!$I$16,$C$22&gt;controle_formulario!$E$16),"Ocultar",""))</f>
        <v>Ocultar</v>
      </c>
    </row>
    <row r="29" spans="1:33" hidden="1" x14ac:dyDescent="0.3">
      <c r="A29" s="6"/>
      <c r="B29" s="64"/>
      <c r="C29" s="56" t="s">
        <v>23</v>
      </c>
      <c r="D29" s="70"/>
      <c r="E29" s="70"/>
      <c r="F29" s="70"/>
      <c r="G29" s="70"/>
      <c r="H29" s="70"/>
      <c r="I29" s="70">
        <f t="shared" si="2"/>
        <v>0</v>
      </c>
      <c r="J29" s="69"/>
      <c r="K29" s="56" t="s">
        <v>23</v>
      </c>
      <c r="L29" s="70"/>
      <c r="M29" s="70"/>
      <c r="N29" s="70"/>
      <c r="O29" s="70"/>
      <c r="P29" s="70"/>
      <c r="Q29" s="70">
        <f t="shared" si="3"/>
        <v>0</v>
      </c>
      <c r="R29" s="66"/>
      <c r="AF29" s="109">
        <v>6</v>
      </c>
      <c r="AG29" s="109" t="str">
        <f>(IF(OR(AF29&gt;controle_formulario!$I$16,$C$22&gt;controle_formulario!$E$16),"Ocultar",""))</f>
        <v>Ocultar</v>
      </c>
    </row>
    <row r="30" spans="1:33" hidden="1" x14ac:dyDescent="0.3">
      <c r="A30" s="6"/>
      <c r="B30" s="64"/>
      <c r="C30" s="56" t="s">
        <v>24</v>
      </c>
      <c r="D30" s="70"/>
      <c r="E30" s="70"/>
      <c r="F30" s="70"/>
      <c r="G30" s="70"/>
      <c r="H30" s="70"/>
      <c r="I30" s="70">
        <f t="shared" si="2"/>
        <v>0</v>
      </c>
      <c r="J30" s="69"/>
      <c r="K30" s="56" t="s">
        <v>24</v>
      </c>
      <c r="L30" s="70"/>
      <c r="M30" s="70"/>
      <c r="N30" s="70"/>
      <c r="O30" s="70"/>
      <c r="P30" s="70"/>
      <c r="Q30" s="70">
        <f t="shared" si="3"/>
        <v>0</v>
      </c>
      <c r="R30" s="66"/>
      <c r="AF30" s="109">
        <v>7</v>
      </c>
      <c r="AG30" s="109" t="str">
        <f>(IF(OR(AF30&gt;controle_formulario!$I$16,$C$22&gt;controle_formulario!$E$16),"Ocultar",""))</f>
        <v>Ocultar</v>
      </c>
    </row>
    <row r="31" spans="1:33" hidden="1" x14ac:dyDescent="0.3">
      <c r="A31" s="6"/>
      <c r="B31" s="64"/>
      <c r="C31" s="56" t="s">
        <v>25</v>
      </c>
      <c r="D31" s="70"/>
      <c r="E31" s="70"/>
      <c r="F31" s="70"/>
      <c r="G31" s="70"/>
      <c r="H31" s="70"/>
      <c r="I31" s="70">
        <f t="shared" si="2"/>
        <v>0</v>
      </c>
      <c r="J31" s="69"/>
      <c r="K31" s="56" t="s">
        <v>25</v>
      </c>
      <c r="L31" s="70"/>
      <c r="M31" s="70"/>
      <c r="N31" s="70"/>
      <c r="O31" s="70"/>
      <c r="P31" s="70"/>
      <c r="Q31" s="70">
        <f t="shared" si="3"/>
        <v>0</v>
      </c>
      <c r="R31" s="66"/>
      <c r="AF31" s="109">
        <v>8</v>
      </c>
      <c r="AG31" s="109" t="str">
        <f>(IF(OR(AF31&gt;controle_formulario!$I$16,$C$22&gt;controle_formulario!$E$16),"Ocultar",""))</f>
        <v>Ocultar</v>
      </c>
    </row>
    <row r="32" spans="1:33" hidden="1" x14ac:dyDescent="0.3">
      <c r="A32" s="6"/>
      <c r="B32" s="64"/>
      <c r="C32" s="56" t="s">
        <v>26</v>
      </c>
      <c r="D32" s="70"/>
      <c r="E32" s="70"/>
      <c r="F32" s="70"/>
      <c r="G32" s="70"/>
      <c r="H32" s="70"/>
      <c r="I32" s="70">
        <f t="shared" si="2"/>
        <v>0</v>
      </c>
      <c r="J32" s="69"/>
      <c r="K32" s="56" t="s">
        <v>26</v>
      </c>
      <c r="L32" s="70"/>
      <c r="M32" s="70"/>
      <c r="N32" s="70"/>
      <c r="O32" s="70"/>
      <c r="P32" s="70"/>
      <c r="Q32" s="70">
        <f t="shared" si="3"/>
        <v>0</v>
      </c>
      <c r="R32" s="66"/>
      <c r="AF32" s="109">
        <v>9</v>
      </c>
      <c r="AG32" s="109" t="str">
        <f>(IF(OR(AF32&gt;controle_formulario!$I$16,$C$22&gt;controle_formulario!$E$16),"Ocultar",""))</f>
        <v>Ocultar</v>
      </c>
    </row>
    <row r="33" spans="1:33" hidden="1" x14ac:dyDescent="0.3">
      <c r="A33" s="6"/>
      <c r="B33" s="64"/>
      <c r="C33" s="56" t="s">
        <v>27</v>
      </c>
      <c r="D33" s="70"/>
      <c r="E33" s="70"/>
      <c r="F33" s="70"/>
      <c r="G33" s="70"/>
      <c r="H33" s="70"/>
      <c r="I33" s="70">
        <f t="shared" si="2"/>
        <v>0</v>
      </c>
      <c r="J33" s="48"/>
      <c r="K33" s="56" t="s">
        <v>27</v>
      </c>
      <c r="L33" s="70"/>
      <c r="M33" s="70"/>
      <c r="N33" s="70"/>
      <c r="O33" s="70"/>
      <c r="P33" s="70"/>
      <c r="Q33" s="70">
        <f t="shared" si="3"/>
        <v>0</v>
      </c>
      <c r="R33" s="66"/>
      <c r="AF33" s="109">
        <v>10</v>
      </c>
      <c r="AG33" s="109" t="str">
        <f>(IF(OR(AF33&gt;controle_formulario!$I$16,$C$22&gt;controle_formulario!$E$16),"Ocultar",""))</f>
        <v>Ocultar</v>
      </c>
    </row>
    <row r="34" spans="1:33" hidden="1" x14ac:dyDescent="0.3">
      <c r="A34" s="6"/>
      <c r="B34" s="64"/>
      <c r="J34" s="48"/>
      <c r="K34" s="48"/>
      <c r="L34" s="48"/>
      <c r="R34" s="66"/>
      <c r="AG34" s="109" t="str">
        <f>IF($C$22&gt;controle_formulario!$E$16,"Ocultar","")</f>
        <v>Ocultar</v>
      </c>
    </row>
    <row r="35" spans="1:33" x14ac:dyDescent="0.3">
      <c r="A35" s="6"/>
      <c r="B35" s="64"/>
      <c r="J35" s="48"/>
      <c r="K35" s="48"/>
      <c r="L35" s="48"/>
      <c r="R35" s="66"/>
    </row>
    <row r="36" spans="1:33" x14ac:dyDescent="0.3">
      <c r="A36" s="6"/>
      <c r="B36" s="64"/>
      <c r="J36" s="48"/>
      <c r="K36" s="48"/>
      <c r="L36" s="48"/>
      <c r="R36" s="66"/>
    </row>
    <row r="37" spans="1:33" hidden="1" x14ac:dyDescent="0.3">
      <c r="A37" s="6"/>
      <c r="B37" s="64"/>
      <c r="C37" s="68" t="str">
        <f>cen.alt4</f>
        <v>Taxa de difusão em X anos: XX%</v>
      </c>
      <c r="D37" s="69"/>
      <c r="E37" s="69"/>
      <c r="K37" s="68" t="str">
        <f>cen.alt5</f>
        <v>Taxa de difusão em X anos: XX%</v>
      </c>
      <c r="L37" s="68"/>
      <c r="M37" s="68"/>
      <c r="N37" s="68"/>
      <c r="O37" s="68"/>
      <c r="P37" s="68"/>
      <c r="Q37" s="68"/>
      <c r="R37" s="66"/>
      <c r="AG37" s="109" t="str">
        <f>IF($C$38&gt;controle_formulario!$E$16,"Ocultar","")</f>
        <v>Ocultar</v>
      </c>
    </row>
    <row r="38" spans="1:33" hidden="1" x14ac:dyDescent="0.3">
      <c r="A38" s="6"/>
      <c r="B38" s="64"/>
      <c r="C38" s="111">
        <v>4</v>
      </c>
      <c r="D38" s="57" t="str">
        <f>trat.novo</f>
        <v>Pirtobrutinibe</v>
      </c>
      <c r="E38" s="57" t="str">
        <f>trat.a</f>
        <v xml:space="preserve"> Conjunto de Tratamentos-Padrão</v>
      </c>
      <c r="F38" s="57">
        <f>trat.b</f>
        <v>0</v>
      </c>
      <c r="G38" s="57">
        <f>trat.c</f>
        <v>0</v>
      </c>
      <c r="H38" s="57">
        <f>trat.d</f>
        <v>0</v>
      </c>
      <c r="I38" s="57" t="s">
        <v>29</v>
      </c>
      <c r="K38" s="111">
        <v>5</v>
      </c>
      <c r="L38" s="57" t="str">
        <f>trat.novo</f>
        <v>Pirtobrutinibe</v>
      </c>
      <c r="M38" s="57" t="str">
        <f>trat.a</f>
        <v xml:space="preserve"> Conjunto de Tratamentos-Padrão</v>
      </c>
      <c r="N38" s="57">
        <f>trat.b</f>
        <v>0</v>
      </c>
      <c r="O38" s="57">
        <f>trat.c</f>
        <v>0</v>
      </c>
      <c r="P38" s="57">
        <f>trat.d</f>
        <v>0</v>
      </c>
      <c r="Q38" s="57" t="s">
        <v>29</v>
      </c>
      <c r="R38" s="66"/>
      <c r="AG38" s="109" t="str">
        <f>IF($C$38&gt;controle_formulario!$E$16,"Ocultar","")</f>
        <v>Ocultar</v>
      </c>
    </row>
    <row r="39" spans="1:33" ht="5.25" hidden="1" customHeight="1" x14ac:dyDescent="0.3">
      <c r="A39" s="6"/>
      <c r="B39" s="64"/>
      <c r="D39" s="52"/>
      <c r="E39" s="52"/>
      <c r="F39" s="52"/>
      <c r="G39" s="52"/>
      <c r="H39" s="52"/>
      <c r="I39" s="52"/>
      <c r="L39" s="52"/>
      <c r="M39" s="52"/>
      <c r="N39" s="52"/>
      <c r="O39" s="52"/>
      <c r="P39" s="52"/>
      <c r="Q39" s="52"/>
      <c r="R39" s="66"/>
      <c r="AG39" s="109" t="str">
        <f>IF($C$38&gt;controle_formulario!$E$16,"Ocultar","")</f>
        <v>Ocultar</v>
      </c>
    </row>
    <row r="40" spans="1:33" hidden="1" x14ac:dyDescent="0.3">
      <c r="A40" s="6"/>
      <c r="B40" s="64"/>
      <c r="C40" s="56" t="s">
        <v>18</v>
      </c>
      <c r="D40" s="70"/>
      <c r="E40" s="70"/>
      <c r="F40" s="70"/>
      <c r="G40" s="70"/>
      <c r="H40" s="70"/>
      <c r="I40" s="70">
        <f t="shared" ref="I40:I49" si="4">SUM(D40:H40)</f>
        <v>0</v>
      </c>
      <c r="J40" s="69"/>
      <c r="K40" s="56" t="s">
        <v>18</v>
      </c>
      <c r="L40" s="70"/>
      <c r="M40" s="70"/>
      <c r="N40" s="70"/>
      <c r="O40" s="70"/>
      <c r="P40" s="70"/>
      <c r="Q40" s="70">
        <f t="shared" ref="Q40:Q49" si="5">SUM(L40:P40)</f>
        <v>0</v>
      </c>
      <c r="R40" s="66"/>
      <c r="AG40" s="109" t="str">
        <f>IF($C$38&gt;controle_formulario!$E$16,"Ocultar","")</f>
        <v>Ocultar</v>
      </c>
    </row>
    <row r="41" spans="1:33" hidden="1" x14ac:dyDescent="0.3">
      <c r="A41" s="6"/>
      <c r="B41" s="64"/>
      <c r="C41" s="56" t="s">
        <v>19</v>
      </c>
      <c r="D41" s="70"/>
      <c r="E41" s="70"/>
      <c r="F41" s="70"/>
      <c r="G41" s="70"/>
      <c r="H41" s="70"/>
      <c r="I41" s="70">
        <f t="shared" si="4"/>
        <v>0</v>
      </c>
      <c r="J41" s="69"/>
      <c r="K41" s="56" t="s">
        <v>19</v>
      </c>
      <c r="L41" s="70"/>
      <c r="M41" s="70"/>
      <c r="N41" s="70"/>
      <c r="O41" s="70"/>
      <c r="P41" s="70"/>
      <c r="Q41" s="70">
        <f t="shared" si="5"/>
        <v>0</v>
      </c>
      <c r="R41" s="66"/>
      <c r="AF41" s="109">
        <v>2</v>
      </c>
      <c r="AG41" s="109" t="str">
        <f>(IF(OR(AF41&gt;controle_formulario!$I$16,$C$38&gt;controle_formulario!$E$16),"Ocultar",""))</f>
        <v>Ocultar</v>
      </c>
    </row>
    <row r="42" spans="1:33" hidden="1" x14ac:dyDescent="0.3">
      <c r="A42" s="6"/>
      <c r="B42" s="64"/>
      <c r="C42" s="56" t="s">
        <v>20</v>
      </c>
      <c r="D42" s="70"/>
      <c r="E42" s="70"/>
      <c r="F42" s="70"/>
      <c r="G42" s="70"/>
      <c r="H42" s="70"/>
      <c r="I42" s="70">
        <f t="shared" si="4"/>
        <v>0</v>
      </c>
      <c r="J42" s="69"/>
      <c r="K42" s="56" t="s">
        <v>20</v>
      </c>
      <c r="L42" s="70"/>
      <c r="M42" s="70"/>
      <c r="N42" s="70"/>
      <c r="O42" s="70"/>
      <c r="P42" s="70"/>
      <c r="Q42" s="70">
        <f t="shared" si="5"/>
        <v>0</v>
      </c>
      <c r="R42" s="66"/>
      <c r="AF42" s="109">
        <v>3</v>
      </c>
      <c r="AG42" s="109" t="str">
        <f>(IF(OR(AF42&gt;controle_formulario!$I$16,$C$38&gt;controle_formulario!$E$16),"Ocultar",""))</f>
        <v>Ocultar</v>
      </c>
    </row>
    <row r="43" spans="1:33" hidden="1" x14ac:dyDescent="0.3">
      <c r="A43" s="6"/>
      <c r="B43" s="64"/>
      <c r="C43" s="56" t="s">
        <v>21</v>
      </c>
      <c r="D43" s="70"/>
      <c r="E43" s="70"/>
      <c r="F43" s="70"/>
      <c r="G43" s="70"/>
      <c r="H43" s="70"/>
      <c r="I43" s="70">
        <f t="shared" si="4"/>
        <v>0</v>
      </c>
      <c r="J43" s="69"/>
      <c r="K43" s="56" t="s">
        <v>21</v>
      </c>
      <c r="L43" s="70"/>
      <c r="M43" s="70"/>
      <c r="N43" s="70"/>
      <c r="O43" s="70"/>
      <c r="P43" s="70"/>
      <c r="Q43" s="70">
        <f t="shared" si="5"/>
        <v>0</v>
      </c>
      <c r="R43" s="66"/>
      <c r="AF43" s="109">
        <v>4</v>
      </c>
      <c r="AG43" s="109" t="str">
        <f>(IF(OR(AF43&gt;controle_formulario!$I$16,$C$38&gt;controle_formulario!$E$16),"Ocultar",""))</f>
        <v>Ocultar</v>
      </c>
    </row>
    <row r="44" spans="1:33" hidden="1" x14ac:dyDescent="0.3">
      <c r="A44" s="6"/>
      <c r="B44" s="64"/>
      <c r="C44" s="56" t="s">
        <v>22</v>
      </c>
      <c r="D44" s="70"/>
      <c r="E44" s="70"/>
      <c r="F44" s="70"/>
      <c r="G44" s="70"/>
      <c r="H44" s="70"/>
      <c r="I44" s="70">
        <f t="shared" si="4"/>
        <v>0</v>
      </c>
      <c r="J44" s="69"/>
      <c r="K44" s="56" t="s">
        <v>22</v>
      </c>
      <c r="L44" s="70"/>
      <c r="M44" s="70"/>
      <c r="N44" s="70"/>
      <c r="O44" s="70"/>
      <c r="P44" s="70"/>
      <c r="Q44" s="70">
        <f t="shared" si="5"/>
        <v>0</v>
      </c>
      <c r="R44" s="66"/>
      <c r="AF44" s="109">
        <v>5</v>
      </c>
      <c r="AG44" s="109" t="str">
        <f>(IF(OR(AF44&gt;controle_formulario!$I$16,$C$38&gt;controle_formulario!$E$16),"Ocultar",""))</f>
        <v>Ocultar</v>
      </c>
    </row>
    <row r="45" spans="1:33" hidden="1" x14ac:dyDescent="0.3">
      <c r="A45" s="6"/>
      <c r="B45" s="64"/>
      <c r="C45" s="56" t="s">
        <v>23</v>
      </c>
      <c r="D45" s="70"/>
      <c r="E45" s="70"/>
      <c r="F45" s="70"/>
      <c r="G45" s="70"/>
      <c r="H45" s="70"/>
      <c r="I45" s="70">
        <f t="shared" si="4"/>
        <v>0</v>
      </c>
      <c r="J45" s="69"/>
      <c r="K45" s="56" t="s">
        <v>23</v>
      </c>
      <c r="L45" s="70"/>
      <c r="M45" s="70"/>
      <c r="N45" s="70"/>
      <c r="O45" s="70"/>
      <c r="P45" s="70"/>
      <c r="Q45" s="70">
        <f t="shared" si="5"/>
        <v>0</v>
      </c>
      <c r="R45" s="66"/>
      <c r="AF45" s="109">
        <v>6</v>
      </c>
      <c r="AG45" s="109" t="str">
        <f>(IF(OR(AF45&gt;controle_formulario!$I$16,$C$38&gt;controle_formulario!$E$16),"Ocultar",""))</f>
        <v>Ocultar</v>
      </c>
    </row>
    <row r="46" spans="1:33" hidden="1" x14ac:dyDescent="0.3">
      <c r="A46" s="6"/>
      <c r="B46" s="64"/>
      <c r="C46" s="56" t="s">
        <v>24</v>
      </c>
      <c r="D46" s="70"/>
      <c r="E46" s="70"/>
      <c r="F46" s="70"/>
      <c r="G46" s="70"/>
      <c r="H46" s="70"/>
      <c r="I46" s="70">
        <f t="shared" si="4"/>
        <v>0</v>
      </c>
      <c r="J46" s="69"/>
      <c r="K46" s="56" t="s">
        <v>24</v>
      </c>
      <c r="L46" s="70"/>
      <c r="M46" s="70"/>
      <c r="N46" s="70"/>
      <c r="O46" s="70"/>
      <c r="P46" s="70"/>
      <c r="Q46" s="70">
        <f t="shared" si="5"/>
        <v>0</v>
      </c>
      <c r="R46" s="66"/>
      <c r="AF46" s="109">
        <v>7</v>
      </c>
      <c r="AG46" s="109" t="str">
        <f>(IF(OR(AF46&gt;controle_formulario!$I$16,$C$38&gt;controle_formulario!$E$16),"Ocultar",""))</f>
        <v>Ocultar</v>
      </c>
    </row>
    <row r="47" spans="1:33" hidden="1" x14ac:dyDescent="0.3">
      <c r="A47" s="6"/>
      <c r="B47" s="64"/>
      <c r="C47" s="56" t="s">
        <v>25</v>
      </c>
      <c r="D47" s="70"/>
      <c r="E47" s="70"/>
      <c r="F47" s="70"/>
      <c r="G47" s="70"/>
      <c r="H47" s="70"/>
      <c r="I47" s="70">
        <f t="shared" si="4"/>
        <v>0</v>
      </c>
      <c r="J47" s="69"/>
      <c r="K47" s="56" t="s">
        <v>25</v>
      </c>
      <c r="L47" s="70"/>
      <c r="M47" s="70"/>
      <c r="N47" s="70"/>
      <c r="O47" s="70"/>
      <c r="P47" s="70"/>
      <c r="Q47" s="70">
        <f t="shared" si="5"/>
        <v>0</v>
      </c>
      <c r="R47" s="66"/>
      <c r="AF47" s="109">
        <v>8</v>
      </c>
      <c r="AG47" s="109" t="str">
        <f>(IF(OR(AF47&gt;controle_formulario!$I$16,$C$38&gt;controle_formulario!$E$16),"Ocultar",""))</f>
        <v>Ocultar</v>
      </c>
    </row>
    <row r="48" spans="1:33" hidden="1" x14ac:dyDescent="0.3">
      <c r="A48" s="6"/>
      <c r="B48" s="64"/>
      <c r="C48" s="56" t="s">
        <v>26</v>
      </c>
      <c r="D48" s="70"/>
      <c r="E48" s="70"/>
      <c r="F48" s="70"/>
      <c r="G48" s="70"/>
      <c r="H48" s="70"/>
      <c r="I48" s="70">
        <f t="shared" si="4"/>
        <v>0</v>
      </c>
      <c r="J48" s="69"/>
      <c r="K48" s="56" t="s">
        <v>26</v>
      </c>
      <c r="L48" s="70"/>
      <c r="M48" s="70"/>
      <c r="N48" s="70"/>
      <c r="O48" s="70"/>
      <c r="P48" s="70"/>
      <c r="Q48" s="70">
        <f t="shared" si="5"/>
        <v>0</v>
      </c>
      <c r="R48" s="66"/>
      <c r="AF48" s="109">
        <v>9</v>
      </c>
      <c r="AG48" s="109" t="str">
        <f>(IF(OR(AF48&gt;controle_formulario!$I$16,$C$38&gt;controle_formulario!$E$16),"Ocultar",""))</f>
        <v>Ocultar</v>
      </c>
    </row>
    <row r="49" spans="1:33" hidden="1" x14ac:dyDescent="0.3">
      <c r="A49" s="6"/>
      <c r="B49" s="64"/>
      <c r="C49" s="56" t="s">
        <v>27</v>
      </c>
      <c r="D49" s="70"/>
      <c r="E49" s="70"/>
      <c r="F49" s="70"/>
      <c r="G49" s="70"/>
      <c r="H49" s="70"/>
      <c r="I49" s="70">
        <f t="shared" si="4"/>
        <v>0</v>
      </c>
      <c r="J49" s="48"/>
      <c r="K49" s="56" t="s">
        <v>27</v>
      </c>
      <c r="L49" s="70"/>
      <c r="M49" s="70"/>
      <c r="N49" s="70"/>
      <c r="O49" s="70"/>
      <c r="P49" s="70"/>
      <c r="Q49" s="70">
        <f t="shared" si="5"/>
        <v>0</v>
      </c>
      <c r="R49" s="66"/>
      <c r="AF49" s="109">
        <v>10</v>
      </c>
      <c r="AG49" s="109" t="str">
        <f>(IF(OR(AF49&gt;controle_formulario!$I$16,$C$38&gt;controle_formulario!$E$16),"Ocultar",""))</f>
        <v>Ocultar</v>
      </c>
    </row>
    <row r="50" spans="1:33" hidden="1" x14ac:dyDescent="0.3">
      <c r="A50" s="6"/>
      <c r="B50" s="64"/>
      <c r="J50" s="48"/>
      <c r="K50" s="48"/>
      <c r="L50" s="48"/>
      <c r="R50" s="66"/>
      <c r="AG50" s="109" t="str">
        <f>IF($C$38&gt;controle_formulario!$E$16,"Ocultar","")</f>
        <v>Ocultar</v>
      </c>
    </row>
    <row r="51" spans="1:33" x14ac:dyDescent="0.3">
      <c r="A51" s="6"/>
      <c r="B51" s="64"/>
      <c r="J51" s="48"/>
      <c r="K51" s="48"/>
      <c r="L51" s="48"/>
      <c r="R51" s="66"/>
    </row>
    <row r="52" spans="1:33" x14ac:dyDescent="0.3">
      <c r="A52" s="6"/>
      <c r="B52" s="100"/>
      <c r="J52" s="48"/>
      <c r="K52" s="48"/>
      <c r="L52" s="48"/>
      <c r="R52" s="66"/>
    </row>
    <row r="53" spans="1:33" hidden="1" x14ac:dyDescent="0.3">
      <c r="A53" s="6"/>
      <c r="B53" s="64"/>
      <c r="C53" s="68" t="str">
        <f>cen.alt6</f>
        <v>Taxa de difusão em X anos: XX%</v>
      </c>
      <c r="D53" s="69"/>
      <c r="E53" s="69"/>
      <c r="K53" s="68" t="str">
        <f>cen.alt7</f>
        <v>Taxa de difusão em X anos: XX%</v>
      </c>
      <c r="L53" s="68"/>
      <c r="M53" s="68"/>
      <c r="N53" s="68"/>
      <c r="O53" s="68"/>
      <c r="P53" s="68"/>
      <c r="Q53" s="68"/>
      <c r="R53" s="66"/>
      <c r="AG53" s="109" t="str">
        <f>IF($C$54&gt;controle_formulario!$E$16,"Ocultar","")</f>
        <v>Ocultar</v>
      </c>
    </row>
    <row r="54" spans="1:33" hidden="1" x14ac:dyDescent="0.3">
      <c r="A54" s="6"/>
      <c r="B54" s="64"/>
      <c r="C54" s="111">
        <v>6</v>
      </c>
      <c r="D54" s="57" t="str">
        <f>trat.novo</f>
        <v>Pirtobrutinibe</v>
      </c>
      <c r="E54" s="57" t="str">
        <f>trat.a</f>
        <v xml:space="preserve"> Conjunto de Tratamentos-Padrão</v>
      </c>
      <c r="F54" s="57">
        <f>trat.b</f>
        <v>0</v>
      </c>
      <c r="G54" s="57">
        <f>trat.c</f>
        <v>0</v>
      </c>
      <c r="H54" s="57">
        <f>trat.d</f>
        <v>0</v>
      </c>
      <c r="I54" s="57" t="s">
        <v>29</v>
      </c>
      <c r="K54" s="111">
        <v>7</v>
      </c>
      <c r="L54" s="57" t="str">
        <f>trat.novo</f>
        <v>Pirtobrutinibe</v>
      </c>
      <c r="M54" s="57" t="str">
        <f>trat.a</f>
        <v xml:space="preserve"> Conjunto de Tratamentos-Padrão</v>
      </c>
      <c r="N54" s="57">
        <f>trat.b</f>
        <v>0</v>
      </c>
      <c r="O54" s="57">
        <f>trat.c</f>
        <v>0</v>
      </c>
      <c r="P54" s="57">
        <f>trat.d</f>
        <v>0</v>
      </c>
      <c r="Q54" s="57" t="s">
        <v>29</v>
      </c>
      <c r="R54" s="66"/>
      <c r="AG54" s="109" t="str">
        <f>IF($C$54&gt;controle_formulario!$E$16,"Ocultar","")</f>
        <v>Ocultar</v>
      </c>
    </row>
    <row r="55" spans="1:33" ht="5.25" hidden="1" customHeight="1" x14ac:dyDescent="0.3">
      <c r="A55" s="6"/>
      <c r="B55" s="64"/>
      <c r="D55" s="52"/>
      <c r="E55" s="52"/>
      <c r="F55" s="52"/>
      <c r="G55" s="52"/>
      <c r="H55" s="52"/>
      <c r="I55" s="52"/>
      <c r="L55" s="52"/>
      <c r="M55" s="52"/>
      <c r="N55" s="52"/>
      <c r="O55" s="52"/>
      <c r="P55" s="52"/>
      <c r="Q55" s="52"/>
      <c r="R55" s="66"/>
      <c r="AG55" s="109" t="str">
        <f>IF($C$54&gt;controle_formulario!$E$16,"Ocultar","")</f>
        <v>Ocultar</v>
      </c>
    </row>
    <row r="56" spans="1:33" hidden="1" x14ac:dyDescent="0.3">
      <c r="A56" s="6"/>
      <c r="B56" s="64"/>
      <c r="C56" s="56" t="s">
        <v>18</v>
      </c>
      <c r="D56" s="70"/>
      <c r="E56" s="70"/>
      <c r="F56" s="70"/>
      <c r="G56" s="70"/>
      <c r="H56" s="70"/>
      <c r="I56" s="70">
        <f t="shared" ref="I56:I65" si="6">SUM(D56:H56)</f>
        <v>0</v>
      </c>
      <c r="J56" s="69"/>
      <c r="K56" s="56" t="s">
        <v>18</v>
      </c>
      <c r="L56" s="70"/>
      <c r="M56" s="70"/>
      <c r="N56" s="70"/>
      <c r="O56" s="70"/>
      <c r="P56" s="70"/>
      <c r="Q56" s="70">
        <f t="shared" ref="Q56:Q65" si="7">SUM(L56:P56)</f>
        <v>0</v>
      </c>
      <c r="R56" s="66"/>
      <c r="AG56" s="109" t="str">
        <f>IF($C$54&gt;controle_formulario!$E$16,"Ocultar","")</f>
        <v>Ocultar</v>
      </c>
    </row>
    <row r="57" spans="1:33" hidden="1" x14ac:dyDescent="0.3">
      <c r="A57" s="6"/>
      <c r="B57" s="64"/>
      <c r="C57" s="56" t="s">
        <v>19</v>
      </c>
      <c r="D57" s="70"/>
      <c r="E57" s="70"/>
      <c r="F57" s="70"/>
      <c r="G57" s="70"/>
      <c r="H57" s="70"/>
      <c r="I57" s="70">
        <f t="shared" si="6"/>
        <v>0</v>
      </c>
      <c r="J57" s="69"/>
      <c r="K57" s="56" t="s">
        <v>19</v>
      </c>
      <c r="L57" s="70"/>
      <c r="M57" s="70"/>
      <c r="N57" s="70"/>
      <c r="O57" s="70"/>
      <c r="P57" s="70"/>
      <c r="Q57" s="70">
        <f t="shared" si="7"/>
        <v>0</v>
      </c>
      <c r="R57" s="66"/>
      <c r="AF57" s="109">
        <v>2</v>
      </c>
      <c r="AG57" s="109" t="str">
        <f>(IF(OR(AF57&gt;controle_formulario!$I$16,$C$54&gt;controle_formulario!$E$16),"Ocultar",""))</f>
        <v>Ocultar</v>
      </c>
    </row>
    <row r="58" spans="1:33" hidden="1" x14ac:dyDescent="0.3">
      <c r="A58" s="6"/>
      <c r="B58" s="64"/>
      <c r="C58" s="56" t="s">
        <v>20</v>
      </c>
      <c r="D58" s="70"/>
      <c r="E58" s="70"/>
      <c r="F58" s="70"/>
      <c r="G58" s="70"/>
      <c r="H58" s="70"/>
      <c r="I58" s="70">
        <f t="shared" si="6"/>
        <v>0</v>
      </c>
      <c r="J58" s="69"/>
      <c r="K58" s="56" t="s">
        <v>20</v>
      </c>
      <c r="L58" s="70"/>
      <c r="M58" s="70"/>
      <c r="N58" s="70"/>
      <c r="O58" s="70"/>
      <c r="P58" s="70"/>
      <c r="Q58" s="70">
        <f t="shared" si="7"/>
        <v>0</v>
      </c>
      <c r="R58" s="66"/>
      <c r="AF58" s="109">
        <v>3</v>
      </c>
      <c r="AG58" s="109" t="str">
        <f>(IF(OR(AF58&gt;controle_formulario!$I$16,$C$54&gt;controle_formulario!$E$16),"Ocultar",""))</f>
        <v>Ocultar</v>
      </c>
    </row>
    <row r="59" spans="1:33" hidden="1" x14ac:dyDescent="0.3">
      <c r="A59" s="6"/>
      <c r="B59" s="64"/>
      <c r="C59" s="56" t="s">
        <v>21</v>
      </c>
      <c r="D59" s="70"/>
      <c r="E59" s="70"/>
      <c r="F59" s="70"/>
      <c r="G59" s="70"/>
      <c r="H59" s="70"/>
      <c r="I59" s="70">
        <f t="shared" si="6"/>
        <v>0</v>
      </c>
      <c r="J59" s="69"/>
      <c r="K59" s="56" t="s">
        <v>21</v>
      </c>
      <c r="L59" s="70"/>
      <c r="M59" s="70"/>
      <c r="N59" s="70"/>
      <c r="O59" s="70"/>
      <c r="P59" s="70"/>
      <c r="Q59" s="70">
        <f t="shared" si="7"/>
        <v>0</v>
      </c>
      <c r="R59" s="66"/>
      <c r="AF59" s="109">
        <v>4</v>
      </c>
      <c r="AG59" s="109" t="str">
        <f>(IF(OR(AF59&gt;controle_formulario!$I$16,$C$54&gt;controle_formulario!$E$16),"Ocultar",""))</f>
        <v>Ocultar</v>
      </c>
    </row>
    <row r="60" spans="1:33" hidden="1" x14ac:dyDescent="0.3">
      <c r="A60" s="6"/>
      <c r="B60" s="64"/>
      <c r="C60" s="56" t="s">
        <v>22</v>
      </c>
      <c r="D60" s="70"/>
      <c r="E60" s="70"/>
      <c r="F60" s="70"/>
      <c r="G60" s="70"/>
      <c r="H60" s="70"/>
      <c r="I60" s="70">
        <f t="shared" si="6"/>
        <v>0</v>
      </c>
      <c r="J60" s="69"/>
      <c r="K60" s="56" t="s">
        <v>22</v>
      </c>
      <c r="L60" s="70"/>
      <c r="M60" s="70"/>
      <c r="N60" s="70"/>
      <c r="O60" s="70"/>
      <c r="P60" s="70"/>
      <c r="Q60" s="70">
        <f t="shared" si="7"/>
        <v>0</v>
      </c>
      <c r="R60" s="66"/>
      <c r="AF60" s="109">
        <v>5</v>
      </c>
      <c r="AG60" s="109" t="str">
        <f>(IF(OR(AF60&gt;controle_formulario!$I$16,$C$54&gt;controle_formulario!$E$16),"Ocultar",""))</f>
        <v>Ocultar</v>
      </c>
    </row>
    <row r="61" spans="1:33" hidden="1" x14ac:dyDescent="0.3">
      <c r="A61" s="6"/>
      <c r="B61" s="64"/>
      <c r="C61" s="56" t="s">
        <v>23</v>
      </c>
      <c r="D61" s="70"/>
      <c r="E61" s="70"/>
      <c r="F61" s="70"/>
      <c r="G61" s="70"/>
      <c r="H61" s="70"/>
      <c r="I61" s="70">
        <f t="shared" si="6"/>
        <v>0</v>
      </c>
      <c r="J61" s="69"/>
      <c r="K61" s="56" t="s">
        <v>23</v>
      </c>
      <c r="L61" s="70"/>
      <c r="M61" s="70"/>
      <c r="N61" s="70"/>
      <c r="O61" s="70"/>
      <c r="P61" s="70"/>
      <c r="Q61" s="70">
        <f t="shared" si="7"/>
        <v>0</v>
      </c>
      <c r="R61" s="66"/>
      <c r="AF61" s="109">
        <v>6</v>
      </c>
      <c r="AG61" s="109" t="str">
        <f>(IF(OR(AF61&gt;controle_formulario!$I$16,$C$54&gt;controle_formulario!$E$16),"Ocultar",""))</f>
        <v>Ocultar</v>
      </c>
    </row>
    <row r="62" spans="1:33" hidden="1" x14ac:dyDescent="0.3">
      <c r="A62" s="6"/>
      <c r="B62" s="64"/>
      <c r="C62" s="56" t="s">
        <v>24</v>
      </c>
      <c r="D62" s="70"/>
      <c r="E62" s="70"/>
      <c r="F62" s="70"/>
      <c r="G62" s="70"/>
      <c r="H62" s="70"/>
      <c r="I62" s="70">
        <f t="shared" si="6"/>
        <v>0</v>
      </c>
      <c r="J62" s="69"/>
      <c r="K62" s="56" t="s">
        <v>24</v>
      </c>
      <c r="L62" s="70"/>
      <c r="M62" s="70"/>
      <c r="N62" s="70"/>
      <c r="O62" s="70"/>
      <c r="P62" s="70"/>
      <c r="Q62" s="70">
        <f t="shared" si="7"/>
        <v>0</v>
      </c>
      <c r="R62" s="66"/>
      <c r="AF62" s="109">
        <v>7</v>
      </c>
      <c r="AG62" s="109" t="str">
        <f>(IF(OR(AF62&gt;controle_formulario!$I$16,$C$54&gt;controle_formulario!$E$16),"Ocultar",""))</f>
        <v>Ocultar</v>
      </c>
    </row>
    <row r="63" spans="1:33" hidden="1" x14ac:dyDescent="0.3">
      <c r="A63" s="6"/>
      <c r="B63" s="64"/>
      <c r="C63" s="56" t="s">
        <v>25</v>
      </c>
      <c r="D63" s="70"/>
      <c r="E63" s="70"/>
      <c r="F63" s="70"/>
      <c r="G63" s="70"/>
      <c r="H63" s="70"/>
      <c r="I63" s="70">
        <f t="shared" si="6"/>
        <v>0</v>
      </c>
      <c r="J63" s="69"/>
      <c r="K63" s="56" t="s">
        <v>25</v>
      </c>
      <c r="L63" s="70"/>
      <c r="M63" s="70"/>
      <c r="N63" s="70"/>
      <c r="O63" s="70"/>
      <c r="P63" s="70"/>
      <c r="Q63" s="70">
        <f t="shared" si="7"/>
        <v>0</v>
      </c>
      <c r="R63" s="66"/>
      <c r="AF63" s="109">
        <v>8</v>
      </c>
      <c r="AG63" s="109" t="str">
        <f>(IF(OR(AF63&gt;controle_formulario!$I$16,$C$54&gt;controle_formulario!$E$16),"Ocultar",""))</f>
        <v>Ocultar</v>
      </c>
    </row>
    <row r="64" spans="1:33" hidden="1" x14ac:dyDescent="0.3">
      <c r="A64" s="6"/>
      <c r="B64" s="64"/>
      <c r="C64" s="56" t="s">
        <v>26</v>
      </c>
      <c r="D64" s="70"/>
      <c r="E64" s="70"/>
      <c r="F64" s="70"/>
      <c r="G64" s="70"/>
      <c r="H64" s="70"/>
      <c r="I64" s="70">
        <f t="shared" si="6"/>
        <v>0</v>
      </c>
      <c r="J64" s="69"/>
      <c r="K64" s="56" t="s">
        <v>26</v>
      </c>
      <c r="L64" s="70"/>
      <c r="M64" s="70"/>
      <c r="N64" s="70"/>
      <c r="O64" s="70"/>
      <c r="P64" s="70"/>
      <c r="Q64" s="70">
        <f t="shared" si="7"/>
        <v>0</v>
      </c>
      <c r="R64" s="66"/>
      <c r="AF64" s="109">
        <v>9</v>
      </c>
      <c r="AG64" s="109" t="str">
        <f>(IF(OR(AF64&gt;controle_formulario!$I$16,$C$54&gt;controle_formulario!$E$16),"Ocultar",""))</f>
        <v>Ocultar</v>
      </c>
    </row>
    <row r="65" spans="1:33" hidden="1" x14ac:dyDescent="0.3">
      <c r="A65" s="6"/>
      <c r="B65" s="64"/>
      <c r="C65" s="56" t="s">
        <v>27</v>
      </c>
      <c r="D65" s="70"/>
      <c r="E65" s="70"/>
      <c r="F65" s="70"/>
      <c r="G65" s="70"/>
      <c r="H65" s="70"/>
      <c r="I65" s="70">
        <f t="shared" si="6"/>
        <v>0</v>
      </c>
      <c r="J65" s="48"/>
      <c r="K65" s="56" t="s">
        <v>27</v>
      </c>
      <c r="L65" s="70"/>
      <c r="M65" s="70"/>
      <c r="N65" s="70"/>
      <c r="O65" s="70"/>
      <c r="P65" s="70"/>
      <c r="Q65" s="70">
        <f t="shared" si="7"/>
        <v>0</v>
      </c>
      <c r="R65" s="66"/>
      <c r="AF65" s="109">
        <v>10</v>
      </c>
      <c r="AG65" s="109" t="str">
        <f>(IF(OR(AF65&gt;controle_formulario!$I$16,$C$54&gt;controle_formulario!$E$16),"Ocultar",""))</f>
        <v>Ocultar</v>
      </c>
    </row>
    <row r="66" spans="1:33" hidden="1" x14ac:dyDescent="0.3">
      <c r="A66" s="6"/>
      <c r="B66" s="64"/>
      <c r="J66" s="48"/>
      <c r="K66" s="48"/>
      <c r="L66" s="48"/>
      <c r="R66" s="66"/>
      <c r="AG66" s="109" t="str">
        <f>IF($C$54&gt;controle_formulario!$E$16,"Ocultar","")</f>
        <v>Ocultar</v>
      </c>
    </row>
    <row r="67" spans="1:33" x14ac:dyDescent="0.3">
      <c r="A67" s="6"/>
      <c r="B67" s="64"/>
      <c r="J67" s="48"/>
      <c r="K67" s="48"/>
      <c r="L67" s="48"/>
      <c r="R67" s="66"/>
    </row>
    <row r="68" spans="1:33" x14ac:dyDescent="0.3">
      <c r="A68" s="6"/>
      <c r="B68" s="64"/>
      <c r="R68" s="66"/>
    </row>
    <row r="69" spans="1:33" hidden="1" x14ac:dyDescent="0.3">
      <c r="A69" s="6"/>
      <c r="B69" s="64"/>
      <c r="C69" s="68" t="str">
        <f>cen.alt8</f>
        <v>Taxa de difusão em X anos: XX%</v>
      </c>
      <c r="D69" s="69"/>
      <c r="E69" s="69"/>
      <c r="K69" s="68" t="str">
        <f>cen.alt9</f>
        <v>Taxa de difusão em X anos: XX%</v>
      </c>
      <c r="L69" s="68"/>
      <c r="M69" s="68"/>
      <c r="N69" s="68"/>
      <c r="O69" s="68"/>
      <c r="P69" s="68"/>
      <c r="Q69" s="68"/>
      <c r="R69" s="66"/>
      <c r="AG69" s="109" t="str">
        <f>IF($C$70&gt;controle_formulario!$E$16,"Ocultar","")</f>
        <v>Ocultar</v>
      </c>
    </row>
    <row r="70" spans="1:33" hidden="1" x14ac:dyDescent="0.3">
      <c r="A70" s="6"/>
      <c r="B70" s="64"/>
      <c r="C70" s="111">
        <v>8</v>
      </c>
      <c r="D70" s="57" t="str">
        <f>trat.novo</f>
        <v>Pirtobrutinibe</v>
      </c>
      <c r="E70" s="57" t="str">
        <f>trat.a</f>
        <v xml:space="preserve"> Conjunto de Tratamentos-Padrão</v>
      </c>
      <c r="F70" s="57">
        <f>trat.b</f>
        <v>0</v>
      </c>
      <c r="G70" s="57">
        <f>trat.c</f>
        <v>0</v>
      </c>
      <c r="H70" s="57">
        <f>trat.d</f>
        <v>0</v>
      </c>
      <c r="I70" s="57" t="s">
        <v>29</v>
      </c>
      <c r="K70" s="111">
        <v>9</v>
      </c>
      <c r="L70" s="57" t="str">
        <f>trat.novo</f>
        <v>Pirtobrutinibe</v>
      </c>
      <c r="M70" s="57" t="str">
        <f>trat.a</f>
        <v xml:space="preserve"> Conjunto de Tratamentos-Padrão</v>
      </c>
      <c r="N70" s="57">
        <f>trat.b</f>
        <v>0</v>
      </c>
      <c r="O70" s="57">
        <f>trat.c</f>
        <v>0</v>
      </c>
      <c r="P70" s="57">
        <f>trat.d</f>
        <v>0</v>
      </c>
      <c r="Q70" s="57" t="s">
        <v>29</v>
      </c>
      <c r="R70" s="66"/>
      <c r="AG70" s="109" t="str">
        <f>IF($C$70&gt;controle_formulario!$E$16,"Ocultar","")</f>
        <v>Ocultar</v>
      </c>
    </row>
    <row r="71" spans="1:33" ht="5.25" hidden="1" customHeight="1" x14ac:dyDescent="0.3">
      <c r="A71" s="6"/>
      <c r="B71" s="64"/>
      <c r="D71" s="52"/>
      <c r="E71" s="52"/>
      <c r="F71" s="52"/>
      <c r="G71" s="52"/>
      <c r="H71" s="52"/>
      <c r="I71" s="52"/>
      <c r="L71" s="52"/>
      <c r="M71" s="52"/>
      <c r="N71" s="52"/>
      <c r="O71" s="52"/>
      <c r="P71" s="52"/>
      <c r="Q71" s="52"/>
      <c r="R71" s="66"/>
      <c r="AG71" s="109" t="str">
        <f>IF($C$70&gt;controle_formulario!$E$16,"Ocultar","")</f>
        <v>Ocultar</v>
      </c>
    </row>
    <row r="72" spans="1:33" hidden="1" x14ac:dyDescent="0.3">
      <c r="A72" s="6"/>
      <c r="B72" s="64"/>
      <c r="C72" s="56" t="s">
        <v>18</v>
      </c>
      <c r="D72" s="70"/>
      <c r="E72" s="70"/>
      <c r="F72" s="70"/>
      <c r="G72" s="70"/>
      <c r="H72" s="70"/>
      <c r="I72" s="70">
        <f t="shared" ref="I72:I81" si="8">SUM(D72:H72)</f>
        <v>0</v>
      </c>
      <c r="J72" s="69"/>
      <c r="K72" s="56" t="s">
        <v>18</v>
      </c>
      <c r="L72" s="70"/>
      <c r="M72" s="70"/>
      <c r="N72" s="70"/>
      <c r="O72" s="70"/>
      <c r="P72" s="70"/>
      <c r="Q72" s="70">
        <f t="shared" ref="Q72:Q81" si="9">SUM(L72:P72)</f>
        <v>0</v>
      </c>
      <c r="R72" s="66"/>
      <c r="AG72" s="109" t="str">
        <f>IF($C$70&gt;controle_formulario!$E$16,"Ocultar","")</f>
        <v>Ocultar</v>
      </c>
    </row>
    <row r="73" spans="1:33" hidden="1" x14ac:dyDescent="0.3">
      <c r="A73" s="6"/>
      <c r="B73" s="64"/>
      <c r="C73" s="56" t="s">
        <v>19</v>
      </c>
      <c r="D73" s="70"/>
      <c r="E73" s="70"/>
      <c r="F73" s="70"/>
      <c r="G73" s="70"/>
      <c r="H73" s="70"/>
      <c r="I73" s="70">
        <f t="shared" si="8"/>
        <v>0</v>
      </c>
      <c r="J73" s="69"/>
      <c r="K73" s="56" t="s">
        <v>19</v>
      </c>
      <c r="L73" s="70"/>
      <c r="M73" s="70"/>
      <c r="N73" s="70"/>
      <c r="O73" s="70"/>
      <c r="P73" s="70"/>
      <c r="Q73" s="70">
        <f t="shared" si="9"/>
        <v>0</v>
      </c>
      <c r="R73" s="66"/>
      <c r="AF73" s="109">
        <v>2</v>
      </c>
      <c r="AG73" s="109" t="str">
        <f>(IF(OR(AF73&gt;controle_formulario!$I$16,$C$70&gt;controle_formulario!$E$16),"Ocultar",""))</f>
        <v>Ocultar</v>
      </c>
    </row>
    <row r="74" spans="1:33" hidden="1" x14ac:dyDescent="0.3">
      <c r="A74" s="6"/>
      <c r="B74" s="64"/>
      <c r="C74" s="56" t="s">
        <v>20</v>
      </c>
      <c r="D74" s="70"/>
      <c r="E74" s="70"/>
      <c r="F74" s="70"/>
      <c r="G74" s="70"/>
      <c r="H74" s="70"/>
      <c r="I74" s="70">
        <f t="shared" si="8"/>
        <v>0</v>
      </c>
      <c r="J74" s="69"/>
      <c r="K74" s="56" t="s">
        <v>20</v>
      </c>
      <c r="L74" s="70"/>
      <c r="M74" s="70"/>
      <c r="N74" s="70"/>
      <c r="O74" s="70"/>
      <c r="P74" s="70"/>
      <c r="Q74" s="70">
        <f t="shared" si="9"/>
        <v>0</v>
      </c>
      <c r="R74" s="66"/>
      <c r="AF74" s="109">
        <v>3</v>
      </c>
      <c r="AG74" s="109" t="str">
        <f>(IF(OR(AF74&gt;controle_formulario!$I$16,$C$70&gt;controle_formulario!$E$16),"Ocultar",""))</f>
        <v>Ocultar</v>
      </c>
    </row>
    <row r="75" spans="1:33" hidden="1" x14ac:dyDescent="0.3">
      <c r="A75" s="6"/>
      <c r="B75" s="64"/>
      <c r="C75" s="56" t="s">
        <v>21</v>
      </c>
      <c r="D75" s="70"/>
      <c r="E75" s="70"/>
      <c r="F75" s="70"/>
      <c r="G75" s="70"/>
      <c r="H75" s="70"/>
      <c r="I75" s="70">
        <f t="shared" si="8"/>
        <v>0</v>
      </c>
      <c r="J75" s="69"/>
      <c r="K75" s="56" t="s">
        <v>21</v>
      </c>
      <c r="L75" s="70"/>
      <c r="M75" s="70"/>
      <c r="N75" s="70"/>
      <c r="O75" s="70"/>
      <c r="P75" s="70"/>
      <c r="Q75" s="70">
        <f t="shared" si="9"/>
        <v>0</v>
      </c>
      <c r="R75" s="66"/>
      <c r="AF75" s="109">
        <v>4</v>
      </c>
      <c r="AG75" s="109" t="str">
        <f>(IF(OR(AF75&gt;controle_formulario!$I$16,$C$70&gt;controle_formulario!$E$16),"Ocultar",""))</f>
        <v>Ocultar</v>
      </c>
    </row>
    <row r="76" spans="1:33" hidden="1" x14ac:dyDescent="0.3">
      <c r="A76" s="6"/>
      <c r="B76" s="64"/>
      <c r="C76" s="56" t="s">
        <v>22</v>
      </c>
      <c r="D76" s="70"/>
      <c r="E76" s="70"/>
      <c r="F76" s="70"/>
      <c r="G76" s="70"/>
      <c r="H76" s="70"/>
      <c r="I76" s="70">
        <f t="shared" si="8"/>
        <v>0</v>
      </c>
      <c r="J76" s="69"/>
      <c r="K76" s="56" t="s">
        <v>22</v>
      </c>
      <c r="L76" s="70"/>
      <c r="M76" s="70"/>
      <c r="N76" s="70"/>
      <c r="O76" s="70"/>
      <c r="P76" s="70"/>
      <c r="Q76" s="70">
        <f t="shared" si="9"/>
        <v>0</v>
      </c>
      <c r="R76" s="66"/>
      <c r="AF76" s="109">
        <v>5</v>
      </c>
      <c r="AG76" s="109" t="str">
        <f>(IF(OR(AF76&gt;controle_formulario!$I$16,$C$70&gt;controle_formulario!$E$16),"Ocultar",""))</f>
        <v>Ocultar</v>
      </c>
    </row>
    <row r="77" spans="1:33" hidden="1" x14ac:dyDescent="0.3">
      <c r="A77" s="6"/>
      <c r="B77" s="64"/>
      <c r="C77" s="56" t="s">
        <v>23</v>
      </c>
      <c r="D77" s="70"/>
      <c r="E77" s="70"/>
      <c r="F77" s="70"/>
      <c r="G77" s="70"/>
      <c r="H77" s="70"/>
      <c r="I77" s="70">
        <f t="shared" si="8"/>
        <v>0</v>
      </c>
      <c r="J77" s="69"/>
      <c r="K77" s="56" t="s">
        <v>23</v>
      </c>
      <c r="L77" s="70"/>
      <c r="M77" s="70"/>
      <c r="N77" s="70"/>
      <c r="O77" s="70"/>
      <c r="P77" s="70"/>
      <c r="Q77" s="70">
        <f t="shared" si="9"/>
        <v>0</v>
      </c>
      <c r="R77" s="66"/>
      <c r="AF77" s="109">
        <v>6</v>
      </c>
      <c r="AG77" s="109" t="str">
        <f>(IF(OR(AF77&gt;controle_formulario!$I$16,$C$70&gt;controle_formulario!$E$16),"Ocultar",""))</f>
        <v>Ocultar</v>
      </c>
    </row>
    <row r="78" spans="1:33" hidden="1" x14ac:dyDescent="0.3">
      <c r="A78" s="6"/>
      <c r="B78" s="64"/>
      <c r="C78" s="56" t="s">
        <v>24</v>
      </c>
      <c r="D78" s="70"/>
      <c r="E78" s="70"/>
      <c r="F78" s="70"/>
      <c r="G78" s="70"/>
      <c r="H78" s="70"/>
      <c r="I78" s="70">
        <f t="shared" si="8"/>
        <v>0</v>
      </c>
      <c r="J78" s="69"/>
      <c r="K78" s="56" t="s">
        <v>24</v>
      </c>
      <c r="L78" s="70"/>
      <c r="M78" s="70"/>
      <c r="N78" s="70"/>
      <c r="O78" s="70"/>
      <c r="P78" s="70"/>
      <c r="Q78" s="70">
        <f t="shared" si="9"/>
        <v>0</v>
      </c>
      <c r="R78" s="66"/>
      <c r="AF78" s="109">
        <v>7</v>
      </c>
      <c r="AG78" s="109" t="str">
        <f>(IF(OR(AF78&gt;controle_formulario!$I$16,$C$70&gt;controle_formulario!$E$16),"Ocultar",""))</f>
        <v>Ocultar</v>
      </c>
    </row>
    <row r="79" spans="1:33" hidden="1" x14ac:dyDescent="0.3">
      <c r="A79" s="6"/>
      <c r="B79" s="64"/>
      <c r="C79" s="56" t="s">
        <v>25</v>
      </c>
      <c r="D79" s="70"/>
      <c r="E79" s="70"/>
      <c r="F79" s="70"/>
      <c r="G79" s="70"/>
      <c r="H79" s="70"/>
      <c r="I79" s="70">
        <f t="shared" si="8"/>
        <v>0</v>
      </c>
      <c r="J79" s="69"/>
      <c r="K79" s="56" t="s">
        <v>25</v>
      </c>
      <c r="L79" s="70"/>
      <c r="M79" s="70"/>
      <c r="N79" s="70"/>
      <c r="O79" s="70"/>
      <c r="P79" s="70"/>
      <c r="Q79" s="70">
        <f t="shared" si="9"/>
        <v>0</v>
      </c>
      <c r="R79" s="66"/>
      <c r="AF79" s="109">
        <v>8</v>
      </c>
      <c r="AG79" s="109" t="str">
        <f>(IF(OR(AF79&gt;controle_formulario!$I$16,$C$70&gt;controle_formulario!$E$16),"Ocultar",""))</f>
        <v>Ocultar</v>
      </c>
    </row>
    <row r="80" spans="1:33" hidden="1" x14ac:dyDescent="0.3">
      <c r="A80" s="6"/>
      <c r="B80" s="64"/>
      <c r="C80" s="56" t="s">
        <v>26</v>
      </c>
      <c r="D80" s="70"/>
      <c r="E80" s="70"/>
      <c r="F80" s="70"/>
      <c r="G80" s="70"/>
      <c r="H80" s="70"/>
      <c r="I80" s="70">
        <f t="shared" si="8"/>
        <v>0</v>
      </c>
      <c r="J80" s="69"/>
      <c r="K80" s="56" t="s">
        <v>26</v>
      </c>
      <c r="L80" s="70"/>
      <c r="M80" s="70"/>
      <c r="N80" s="70"/>
      <c r="O80" s="70"/>
      <c r="P80" s="70"/>
      <c r="Q80" s="70">
        <f t="shared" si="9"/>
        <v>0</v>
      </c>
      <c r="R80" s="66"/>
      <c r="AF80" s="109">
        <v>9</v>
      </c>
      <c r="AG80" s="109" t="str">
        <f>(IF(OR(AF80&gt;controle_formulario!$I$16,$C$70&gt;controle_formulario!$E$16),"Ocultar",""))</f>
        <v>Ocultar</v>
      </c>
    </row>
    <row r="81" spans="1:33" hidden="1" x14ac:dyDescent="0.3">
      <c r="A81" s="6"/>
      <c r="B81" s="64"/>
      <c r="C81" s="56" t="s">
        <v>27</v>
      </c>
      <c r="D81" s="70"/>
      <c r="E81" s="70"/>
      <c r="F81" s="70"/>
      <c r="G81" s="70"/>
      <c r="H81" s="70"/>
      <c r="I81" s="70">
        <f t="shared" si="8"/>
        <v>0</v>
      </c>
      <c r="J81" s="48"/>
      <c r="K81" s="56" t="s">
        <v>27</v>
      </c>
      <c r="L81" s="70"/>
      <c r="M81" s="70"/>
      <c r="N81" s="70"/>
      <c r="O81" s="70"/>
      <c r="P81" s="70"/>
      <c r="Q81" s="70">
        <f t="shared" si="9"/>
        <v>0</v>
      </c>
      <c r="R81" s="66"/>
      <c r="AF81" s="109">
        <v>10</v>
      </c>
      <c r="AG81" s="109" t="str">
        <f>(IF(OR(AF81&gt;controle_formulario!$I$16,$C$70&gt;controle_formulario!$E$16),"Ocultar",""))</f>
        <v>Ocultar</v>
      </c>
    </row>
    <row r="82" spans="1:33" hidden="1" x14ac:dyDescent="0.3">
      <c r="A82" s="6"/>
      <c r="B82" s="64"/>
      <c r="R82" s="66"/>
      <c r="AG82" s="109" t="str">
        <f>IF($C$70&gt;controle_formulario!$E$16,"Ocultar","")</f>
        <v>Ocultar</v>
      </c>
    </row>
    <row r="83" spans="1:33" x14ac:dyDescent="0.3">
      <c r="A83" s="6"/>
      <c r="B83" s="64"/>
      <c r="R83" s="66"/>
    </row>
    <row r="84" spans="1:33" x14ac:dyDescent="0.3">
      <c r="A84" s="6"/>
      <c r="B84" s="64"/>
      <c r="R84" s="66"/>
    </row>
    <row r="85" spans="1:33" hidden="1" x14ac:dyDescent="0.3">
      <c r="A85" s="6"/>
      <c r="B85" s="64"/>
      <c r="C85" s="68" t="str">
        <f>cen.alt10</f>
        <v>Taxa de difusão em X anos: XX%</v>
      </c>
      <c r="D85" s="69"/>
      <c r="E85" s="69"/>
      <c r="K85"/>
      <c r="L85"/>
      <c r="M85"/>
      <c r="N85"/>
      <c r="O85"/>
      <c r="P85"/>
      <c r="Q85"/>
      <c r="R85" s="66"/>
      <c r="AG85" s="109" t="str">
        <f>IF($C$86&gt;controle_formulario!$E$16,"Ocultar","")</f>
        <v>Ocultar</v>
      </c>
    </row>
    <row r="86" spans="1:33" hidden="1" x14ac:dyDescent="0.3">
      <c r="A86" s="6"/>
      <c r="B86" s="64"/>
      <c r="C86" s="111">
        <v>10</v>
      </c>
      <c r="D86" s="57" t="str">
        <f>trat.novo</f>
        <v>Pirtobrutinibe</v>
      </c>
      <c r="E86" s="57" t="str">
        <f>trat.a</f>
        <v xml:space="preserve"> Conjunto de Tratamentos-Padrão</v>
      </c>
      <c r="F86" s="57">
        <f>trat.b</f>
        <v>0</v>
      </c>
      <c r="G86" s="57">
        <f>trat.c</f>
        <v>0</v>
      </c>
      <c r="H86" s="57">
        <f>trat.d</f>
        <v>0</v>
      </c>
      <c r="I86" s="57" t="s">
        <v>29</v>
      </c>
      <c r="K86"/>
      <c r="L86"/>
      <c r="M86"/>
      <c r="N86"/>
      <c r="O86"/>
      <c r="P86"/>
      <c r="Q86"/>
      <c r="R86" s="66"/>
      <c r="AG86" s="109" t="str">
        <f>IF($C$86&gt;controle_formulario!$E$16,"Ocultar","")</f>
        <v>Ocultar</v>
      </c>
    </row>
    <row r="87" spans="1:33" ht="5.25" hidden="1" customHeight="1" x14ac:dyDescent="0.3">
      <c r="A87" s="6"/>
      <c r="B87" s="64"/>
      <c r="D87" s="52"/>
      <c r="E87" s="52"/>
      <c r="F87" s="52"/>
      <c r="G87" s="52"/>
      <c r="H87" s="52"/>
      <c r="I87" s="52"/>
      <c r="K87"/>
      <c r="L87"/>
      <c r="M87"/>
      <c r="N87"/>
      <c r="O87"/>
      <c r="P87"/>
      <c r="Q87"/>
      <c r="R87" s="66"/>
      <c r="AG87" s="109" t="str">
        <f>IF($C$86&gt;controle_formulario!$E$16,"Ocultar","")</f>
        <v>Ocultar</v>
      </c>
    </row>
    <row r="88" spans="1:33" hidden="1" x14ac:dyDescent="0.3">
      <c r="A88" s="6"/>
      <c r="B88" s="64"/>
      <c r="C88" s="56" t="s">
        <v>18</v>
      </c>
      <c r="D88" s="70"/>
      <c r="E88" s="70"/>
      <c r="F88" s="70"/>
      <c r="G88" s="70"/>
      <c r="H88" s="70"/>
      <c r="I88" s="70">
        <f t="shared" ref="I88:I97" si="10">SUM(D88:H88)</f>
        <v>0</v>
      </c>
      <c r="J88" s="69"/>
      <c r="K88"/>
      <c r="L88"/>
      <c r="M88"/>
      <c r="N88"/>
      <c r="O88"/>
      <c r="P88"/>
      <c r="Q88"/>
      <c r="R88" s="66"/>
      <c r="AG88" s="109" t="str">
        <f>IF($C$86&gt;controle_formulario!$E$16,"Ocultar","")</f>
        <v>Ocultar</v>
      </c>
    </row>
    <row r="89" spans="1:33" hidden="1" x14ac:dyDescent="0.3">
      <c r="A89" s="6"/>
      <c r="B89" s="64"/>
      <c r="C89" s="56" t="s">
        <v>19</v>
      </c>
      <c r="D89" s="70"/>
      <c r="E89" s="70"/>
      <c r="F89" s="70"/>
      <c r="G89" s="70"/>
      <c r="H89" s="70"/>
      <c r="I89" s="70">
        <f t="shared" si="10"/>
        <v>0</v>
      </c>
      <c r="J89" s="69"/>
      <c r="K89"/>
      <c r="L89"/>
      <c r="M89"/>
      <c r="N89"/>
      <c r="O89"/>
      <c r="P89"/>
      <c r="Q89"/>
      <c r="R89" s="66"/>
      <c r="AF89" s="109">
        <v>2</v>
      </c>
      <c r="AG89" s="109" t="str">
        <f>(IF(OR(AF89&gt;controle_formulario!$I$16,$C$86&gt;controle_formulario!$E$16),"Ocultar",""))</f>
        <v>Ocultar</v>
      </c>
    </row>
    <row r="90" spans="1:33" hidden="1" x14ac:dyDescent="0.3">
      <c r="A90" s="6"/>
      <c r="B90" s="64"/>
      <c r="C90" s="56" t="s">
        <v>20</v>
      </c>
      <c r="D90" s="70"/>
      <c r="E90" s="70"/>
      <c r="F90" s="70"/>
      <c r="G90" s="70"/>
      <c r="H90" s="70"/>
      <c r="I90" s="70">
        <f t="shared" si="10"/>
        <v>0</v>
      </c>
      <c r="J90" s="69"/>
      <c r="K90"/>
      <c r="L90"/>
      <c r="M90"/>
      <c r="N90"/>
      <c r="O90"/>
      <c r="P90"/>
      <c r="Q90"/>
      <c r="R90" s="66"/>
      <c r="AF90" s="109">
        <v>3</v>
      </c>
      <c r="AG90" s="109" t="str">
        <f>(IF(OR(AF90&gt;controle_formulario!$I$16,$C$86&gt;controle_formulario!$E$16),"Ocultar",""))</f>
        <v>Ocultar</v>
      </c>
    </row>
    <row r="91" spans="1:33" hidden="1" x14ac:dyDescent="0.3">
      <c r="A91" s="6"/>
      <c r="B91" s="64"/>
      <c r="C91" s="56" t="s">
        <v>21</v>
      </c>
      <c r="D91" s="70"/>
      <c r="E91" s="70"/>
      <c r="F91" s="70"/>
      <c r="G91" s="70"/>
      <c r="H91" s="70"/>
      <c r="I91" s="70">
        <f t="shared" si="10"/>
        <v>0</v>
      </c>
      <c r="J91" s="69"/>
      <c r="K91"/>
      <c r="L91"/>
      <c r="M91"/>
      <c r="N91"/>
      <c r="O91"/>
      <c r="P91"/>
      <c r="Q91"/>
      <c r="R91" s="66"/>
      <c r="AF91" s="109">
        <v>4</v>
      </c>
      <c r="AG91" s="109" t="str">
        <f>(IF(OR(AF91&gt;controle_formulario!$I$16,$C$86&gt;controle_formulario!$E$16),"Ocultar",""))</f>
        <v>Ocultar</v>
      </c>
    </row>
    <row r="92" spans="1:33" hidden="1" x14ac:dyDescent="0.3">
      <c r="A92" s="6"/>
      <c r="B92" s="64"/>
      <c r="C92" s="56" t="s">
        <v>22</v>
      </c>
      <c r="D92" s="70"/>
      <c r="E92" s="70"/>
      <c r="F92" s="70"/>
      <c r="G92" s="70"/>
      <c r="H92" s="70"/>
      <c r="I92" s="70">
        <f t="shared" si="10"/>
        <v>0</v>
      </c>
      <c r="J92" s="69"/>
      <c r="K92"/>
      <c r="L92"/>
      <c r="M92"/>
      <c r="N92"/>
      <c r="O92"/>
      <c r="P92"/>
      <c r="Q92"/>
      <c r="R92" s="66"/>
      <c r="AF92" s="109">
        <v>5</v>
      </c>
      <c r="AG92" s="109" t="str">
        <f>(IF(OR(AF92&gt;controle_formulario!$I$16,$C$86&gt;controle_formulario!$E$16),"Ocultar",""))</f>
        <v>Ocultar</v>
      </c>
    </row>
    <row r="93" spans="1:33" hidden="1" x14ac:dyDescent="0.3">
      <c r="A93" s="6"/>
      <c r="B93" s="64"/>
      <c r="C93" s="56" t="s">
        <v>23</v>
      </c>
      <c r="D93" s="70"/>
      <c r="E93" s="70"/>
      <c r="F93" s="70"/>
      <c r="G93" s="70"/>
      <c r="H93" s="70"/>
      <c r="I93" s="70">
        <f t="shared" si="10"/>
        <v>0</v>
      </c>
      <c r="J93" s="69"/>
      <c r="K93"/>
      <c r="L93"/>
      <c r="M93"/>
      <c r="N93"/>
      <c r="O93"/>
      <c r="P93"/>
      <c r="Q93"/>
      <c r="R93" s="66"/>
      <c r="AF93" s="109">
        <v>6</v>
      </c>
      <c r="AG93" s="109" t="str">
        <f>(IF(OR(AF93&gt;controle_formulario!$I$16,$C$86&gt;controle_formulario!$E$16),"Ocultar",""))</f>
        <v>Ocultar</v>
      </c>
    </row>
    <row r="94" spans="1:33" hidden="1" x14ac:dyDescent="0.3">
      <c r="A94" s="6"/>
      <c r="B94" s="64"/>
      <c r="C94" s="56" t="s">
        <v>24</v>
      </c>
      <c r="D94" s="70"/>
      <c r="E94" s="70"/>
      <c r="F94" s="70"/>
      <c r="G94" s="70"/>
      <c r="H94" s="70"/>
      <c r="I94" s="70">
        <f t="shared" si="10"/>
        <v>0</v>
      </c>
      <c r="J94" s="69"/>
      <c r="K94"/>
      <c r="L94"/>
      <c r="M94"/>
      <c r="N94"/>
      <c r="O94"/>
      <c r="P94"/>
      <c r="Q94"/>
      <c r="R94" s="66"/>
      <c r="AF94" s="109">
        <v>7</v>
      </c>
      <c r="AG94" s="109" t="str">
        <f>(IF(OR(AF94&gt;controle_formulario!$I$16,$C$86&gt;controle_formulario!$E$16),"Ocultar",""))</f>
        <v>Ocultar</v>
      </c>
    </row>
    <row r="95" spans="1:33" hidden="1" x14ac:dyDescent="0.3">
      <c r="A95" s="6"/>
      <c r="B95" s="64"/>
      <c r="C95" s="56" t="s">
        <v>25</v>
      </c>
      <c r="D95" s="70"/>
      <c r="E95" s="70"/>
      <c r="F95" s="70"/>
      <c r="G95" s="70"/>
      <c r="H95" s="70"/>
      <c r="I95" s="70">
        <f t="shared" si="10"/>
        <v>0</v>
      </c>
      <c r="J95" s="69"/>
      <c r="K95"/>
      <c r="L95"/>
      <c r="M95"/>
      <c r="N95"/>
      <c r="O95"/>
      <c r="P95"/>
      <c r="Q95"/>
      <c r="R95" s="66"/>
      <c r="AF95" s="109">
        <v>8</v>
      </c>
      <c r="AG95" s="109" t="str">
        <f>(IF(OR(AF95&gt;controle_formulario!$I$16,$C$86&gt;controle_formulario!$E$16),"Ocultar",""))</f>
        <v>Ocultar</v>
      </c>
    </row>
    <row r="96" spans="1:33" hidden="1" x14ac:dyDescent="0.3">
      <c r="A96" s="6"/>
      <c r="B96" s="64"/>
      <c r="C96" s="56" t="s">
        <v>26</v>
      </c>
      <c r="D96" s="70"/>
      <c r="E96" s="70"/>
      <c r="F96" s="70"/>
      <c r="G96" s="70"/>
      <c r="H96" s="70"/>
      <c r="I96" s="70">
        <f t="shared" si="10"/>
        <v>0</v>
      </c>
      <c r="J96" s="69"/>
      <c r="K96"/>
      <c r="L96"/>
      <c r="M96"/>
      <c r="N96"/>
      <c r="O96"/>
      <c r="P96"/>
      <c r="Q96"/>
      <c r="R96" s="66"/>
      <c r="AF96" s="109">
        <v>9</v>
      </c>
      <c r="AG96" s="109" t="str">
        <f>(IF(OR(AF96&gt;controle_formulario!$I$16,$C$86&gt;controle_formulario!$E$16),"Ocultar",""))</f>
        <v>Ocultar</v>
      </c>
    </row>
    <row r="97" spans="1:33" hidden="1" x14ac:dyDescent="0.3">
      <c r="A97" s="6"/>
      <c r="B97" s="64"/>
      <c r="C97" s="56" t="s">
        <v>27</v>
      </c>
      <c r="D97" s="70"/>
      <c r="E97" s="70"/>
      <c r="F97" s="70"/>
      <c r="G97" s="70"/>
      <c r="H97" s="70"/>
      <c r="I97" s="70">
        <f t="shared" si="10"/>
        <v>0</v>
      </c>
      <c r="J97" s="48"/>
      <c r="K97"/>
      <c r="L97"/>
      <c r="M97"/>
      <c r="N97"/>
      <c r="O97"/>
      <c r="P97"/>
      <c r="Q97"/>
      <c r="R97" s="66"/>
      <c r="AF97" s="109">
        <v>10</v>
      </c>
      <c r="AG97" s="109" t="str">
        <f>(IF(OR(AF97&gt;controle_formulario!$I$16,$C$86&gt;controle_formulario!$E$16),"Ocultar",""))</f>
        <v>Ocultar</v>
      </c>
    </row>
    <row r="98" spans="1:33" hidden="1" x14ac:dyDescent="0.3">
      <c r="A98" s="6"/>
      <c r="B98" s="64"/>
      <c r="R98" s="66"/>
      <c r="AG98" s="109" t="str">
        <f>IF($C$86&gt;controle_formulario!$E$16,"Ocultar","")</f>
        <v>Ocultar</v>
      </c>
    </row>
    <row r="99" spans="1:33" x14ac:dyDescent="0.3">
      <c r="B99" s="64"/>
      <c r="R99" s="66"/>
    </row>
    <row r="100" spans="1:33" x14ac:dyDescent="0.3">
      <c r="B100" s="64"/>
      <c r="R100" s="66"/>
    </row>
    <row r="101" spans="1:33" ht="15.6" x14ac:dyDescent="0.3">
      <c r="A101" s="6"/>
      <c r="B101" s="64"/>
      <c r="C101" s="65" t="s">
        <v>30</v>
      </c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6"/>
    </row>
    <row r="102" spans="1:33" ht="15.6" x14ac:dyDescent="0.3">
      <c r="A102" s="6"/>
      <c r="B102" s="64"/>
      <c r="C102" s="67"/>
      <c r="R102" s="66"/>
    </row>
    <row r="103" spans="1:33" x14ac:dyDescent="0.3">
      <c r="A103" s="6"/>
      <c r="B103" s="64"/>
      <c r="C103" s="73" t="str">
        <f>cen.ref</f>
        <v>Sem pirtobrutinibe</v>
      </c>
      <c r="D103" s="74"/>
      <c r="E103" s="74"/>
      <c r="F103" s="59"/>
      <c r="G103" s="59"/>
      <c r="H103" s="59"/>
      <c r="I103" s="59"/>
      <c r="K103" s="73" t="str">
        <f>cen.alt1</f>
        <v>Incorporação progressiva- pirtobrutinibe</v>
      </c>
      <c r="L103" s="73"/>
      <c r="M103" s="73"/>
      <c r="N103" s="73"/>
      <c r="O103" s="73"/>
      <c r="P103" s="73"/>
      <c r="Q103" s="73"/>
      <c r="R103" s="66"/>
    </row>
    <row r="104" spans="1:33" ht="43.8" customHeight="1" x14ac:dyDescent="0.3">
      <c r="A104" s="6"/>
      <c r="B104" s="64"/>
      <c r="C104" s="120"/>
      <c r="D104" s="119" t="str">
        <f>trat.novo</f>
        <v>Pirtobrutinibe</v>
      </c>
      <c r="E104" s="119" t="str">
        <f>trat.a</f>
        <v xml:space="preserve"> Conjunto de Tratamentos-Padrão</v>
      </c>
      <c r="F104" s="57">
        <f>trat.b</f>
        <v>0</v>
      </c>
      <c r="G104" s="57">
        <f>trat.c</f>
        <v>0</v>
      </c>
      <c r="H104" s="57">
        <f>trat.d</f>
        <v>0</v>
      </c>
      <c r="I104" s="57" t="s">
        <v>29</v>
      </c>
      <c r="L104" s="119" t="str">
        <f>trat.novo</f>
        <v>Pirtobrutinibe</v>
      </c>
      <c r="M104" s="119" t="str">
        <f>trat.a</f>
        <v xml:space="preserve"> Conjunto de Tratamentos-Padrão</v>
      </c>
      <c r="N104" s="57">
        <f>trat.b</f>
        <v>0</v>
      </c>
      <c r="O104" s="57">
        <f>trat.c</f>
        <v>0</v>
      </c>
      <c r="P104" s="57">
        <f>trat.d</f>
        <v>0</v>
      </c>
      <c r="Q104" s="57" t="s">
        <v>29</v>
      </c>
      <c r="R104" s="66"/>
    </row>
    <row r="105" spans="1:33" x14ac:dyDescent="0.3">
      <c r="A105" s="6"/>
      <c r="B105" s="64"/>
      <c r="C105" s="56" t="s">
        <v>18</v>
      </c>
      <c r="D105" s="54">
        <f ca="1">D8*OFFSET(Populacao!$I$86,'Market Share'!$AF105-1,0)</f>
        <v>0</v>
      </c>
      <c r="E105" s="224">
        <f ca="1">E8*OFFSET(Populacao!$I$86,'Market Share'!$AF105-1,0)</f>
        <v>32.31181905845493</v>
      </c>
      <c r="F105" s="224">
        <f ca="1">F8*OFFSET(Populacao!$I$86,'Market Share'!$AF105-1,0)</f>
        <v>0</v>
      </c>
      <c r="G105" s="54">
        <f ca="1">G8*OFFSET(Populacao!$I$86,'Market Share'!$AF105-1,0)</f>
        <v>0</v>
      </c>
      <c r="H105" s="54">
        <f ca="1">H8*OFFSET(Populacao!$I$86,'Market Share'!$AF105-1,0)</f>
        <v>0</v>
      </c>
      <c r="I105" s="224">
        <f ca="1">SUM(D105:H105)</f>
        <v>32.31181905845493</v>
      </c>
      <c r="K105" s="56" t="s">
        <v>18</v>
      </c>
      <c r="L105" s="224">
        <f ca="1">L8*OFFSET(Populacao!$I$86,'Market Share'!$AF105-1,0)</f>
        <v>25.131414823242721</v>
      </c>
      <c r="M105" s="224">
        <f ca="1">M8*OFFSET(Populacao!$I$86,'Market Share'!$AF105-1,0)</f>
        <v>10.77060635281831</v>
      </c>
      <c r="N105" s="224">
        <f ca="1">N8*OFFSET(Populacao!$I$86,'Market Share'!$AF105-1,0)</f>
        <v>0</v>
      </c>
      <c r="O105" s="54">
        <f ca="1">O8*OFFSET(Populacao!$I$86,'Market Share'!$AF105-1,0)</f>
        <v>0</v>
      </c>
      <c r="P105" s="54">
        <f ca="1">P8*OFFSET(Populacao!$I$86,'Market Share'!$AF105-1,0)</f>
        <v>0</v>
      </c>
      <c r="Q105" s="224">
        <f ca="1">SUM(L105:P105)</f>
        <v>35.902021176061034</v>
      </c>
      <c r="R105" s="66"/>
      <c r="AF105" s="110">
        <v>1</v>
      </c>
      <c r="AG105" s="109"/>
    </row>
    <row r="106" spans="1:33" x14ac:dyDescent="0.3">
      <c r="A106" s="6"/>
      <c r="B106" s="64"/>
      <c r="C106" s="56" t="s">
        <v>19</v>
      </c>
      <c r="D106" s="54">
        <f ca="1">D9*OFFSET(Populacao!$I$86,'Market Share'!$AF106-1,0)</f>
        <v>0</v>
      </c>
      <c r="E106" s="224">
        <f ca="1">E9*OFFSET(Populacao!$I$86,'Market Share'!$AF106-1,0)</f>
        <v>32.424403135480489</v>
      </c>
      <c r="F106" s="224">
        <f ca="1">F9*OFFSET(Populacao!$I$86,'Market Share'!$AF106-1,0)</f>
        <v>0</v>
      </c>
      <c r="G106" s="54">
        <f ca="1">G9*OFFSET(Populacao!$I$86,'Market Share'!$AF106-1,0)</f>
        <v>0</v>
      </c>
      <c r="H106" s="54">
        <f ca="1">H9*OFFSET(Populacao!$I$86,'Market Share'!$AF106-1,0)</f>
        <v>0</v>
      </c>
      <c r="I106" s="224">
        <f t="shared" ref="I106:I114" ca="1" si="11">SUM(D106:H106)</f>
        <v>32.424403135480489</v>
      </c>
      <c r="J106" s="69"/>
      <c r="K106" s="56" t="s">
        <v>19</v>
      </c>
      <c r="L106" s="224">
        <f ca="1">L9*OFFSET(Populacao!$I$86,'Market Share'!$AF106-1,0)</f>
        <v>27.020335946233743</v>
      </c>
      <c r="M106" s="224">
        <f ca="1">M9*OFFSET(Populacao!$I$86,'Market Share'!$AF106-1,0)</f>
        <v>9.0067786487445805</v>
      </c>
      <c r="N106" s="224">
        <f ca="1">N9*OFFSET(Populacao!$I$86,'Market Share'!$AF106-1,0)</f>
        <v>0</v>
      </c>
      <c r="O106" s="54">
        <f ca="1">O9*OFFSET(Populacao!$I$86,'Market Share'!$AF106-1,0)</f>
        <v>0</v>
      </c>
      <c r="P106" s="54">
        <f ca="1">P9*OFFSET(Populacao!$I$86,'Market Share'!$AF106-1,0)</f>
        <v>0</v>
      </c>
      <c r="Q106" s="224">
        <f t="shared" ref="Q106:Q115" ca="1" si="12">SUM(L106:P106)</f>
        <v>36.027114594978322</v>
      </c>
      <c r="R106" s="66"/>
      <c r="AF106" s="109">
        <v>2</v>
      </c>
      <c r="AG106" s="109" t="str">
        <f>(IF(AF106&gt;controle_formulario!$I$16,"Ocultar",""))</f>
        <v/>
      </c>
    </row>
    <row r="107" spans="1:33" x14ac:dyDescent="0.3">
      <c r="A107" s="6"/>
      <c r="B107" s="64"/>
      <c r="C107" s="56" t="s">
        <v>20</v>
      </c>
      <c r="D107" s="54">
        <f ca="1">D10*OFFSET(Populacao!$I$86,'Market Share'!$AF107-1,0)</f>
        <v>0</v>
      </c>
      <c r="E107" s="224">
        <f ca="1">E10*OFFSET(Populacao!$I$86,'Market Share'!$AF107-1,0)</f>
        <v>32.528468045592291</v>
      </c>
      <c r="F107" s="224">
        <f ca="1">F10*OFFSET(Populacao!$I$86,'Market Share'!$AF107-1,0)</f>
        <v>0</v>
      </c>
      <c r="G107" s="54">
        <f ca="1">G10*OFFSET(Populacao!$I$86,'Market Share'!$AF107-1,0)</f>
        <v>0</v>
      </c>
      <c r="H107" s="54">
        <f ca="1">H10*OFFSET(Populacao!$I$86,'Market Share'!$AF107-1,0)</f>
        <v>0</v>
      </c>
      <c r="I107" s="224">
        <f t="shared" ca="1" si="11"/>
        <v>32.528468045592291</v>
      </c>
      <c r="J107" s="69"/>
      <c r="K107" s="56" t="s">
        <v>20</v>
      </c>
      <c r="L107" s="224">
        <f ca="1">L10*OFFSET(Populacao!$I$86,'Market Share'!$AF107-1,0)</f>
        <v>28.914193818304256</v>
      </c>
      <c r="M107" s="224">
        <f ca="1">M10*OFFSET(Populacao!$I$86,'Market Share'!$AF107-1,0)</f>
        <v>7.2285484545760639</v>
      </c>
      <c r="N107" s="224">
        <f ca="1">N10*OFFSET(Populacao!$I$86,'Market Share'!$AF107-1,0)</f>
        <v>0</v>
      </c>
      <c r="O107" s="54">
        <f ca="1">O10*OFFSET(Populacao!$I$86,'Market Share'!$AF107-1,0)</f>
        <v>0</v>
      </c>
      <c r="P107" s="54">
        <f ca="1">P10*OFFSET(Populacao!$I$86,'Market Share'!$AF107-1,0)</f>
        <v>0</v>
      </c>
      <c r="Q107" s="224">
        <f t="shared" ca="1" si="12"/>
        <v>36.142742272880319</v>
      </c>
      <c r="R107" s="66"/>
      <c r="AF107" s="109">
        <v>3</v>
      </c>
      <c r="AG107" s="109" t="str">
        <f>(IF(AF107&gt;controle_formulario!$I$16,"Ocultar",""))</f>
        <v/>
      </c>
    </row>
    <row r="108" spans="1:33" x14ac:dyDescent="0.3">
      <c r="A108" s="6"/>
      <c r="B108" s="64"/>
      <c r="C108" s="56" t="s">
        <v>21</v>
      </c>
      <c r="D108" s="54">
        <f ca="1">D11*OFFSET(Populacao!$I$86,'Market Share'!$AF108-1,0)</f>
        <v>0</v>
      </c>
      <c r="E108" s="224">
        <f ca="1">E11*OFFSET(Populacao!$I$86,'Market Share'!$AF108-1,0)</f>
        <v>32.625025090676573</v>
      </c>
      <c r="F108" s="224">
        <f ca="1">F11*OFFSET(Populacao!$I$86,'Market Share'!$AF108-1,0)</f>
        <v>0</v>
      </c>
      <c r="G108" s="54">
        <f ca="1">G11*OFFSET(Populacao!$I$86,'Market Share'!$AF108-1,0)</f>
        <v>0</v>
      </c>
      <c r="H108" s="54">
        <f ca="1">H11*OFFSET(Populacao!$I$86,'Market Share'!$AF108-1,0)</f>
        <v>0</v>
      </c>
      <c r="I108" s="224">
        <f t="shared" ca="1" si="11"/>
        <v>32.625025090676573</v>
      </c>
      <c r="J108" s="69"/>
      <c r="K108" s="56" t="s">
        <v>21</v>
      </c>
      <c r="L108" s="224">
        <f ca="1">L11*OFFSET(Populacao!$I$86,'Market Share'!$AF108-1,0)</f>
        <v>30.812523696750095</v>
      </c>
      <c r="M108" s="224">
        <f ca="1">M11*OFFSET(Populacao!$I$86,'Market Share'!$AF108-1,0)</f>
        <v>5.4375041817794285</v>
      </c>
      <c r="N108" s="224">
        <f ca="1">N11*OFFSET(Populacao!$I$86,'Market Share'!$AF108-1,0)</f>
        <v>0</v>
      </c>
      <c r="O108" s="54">
        <f ca="1">O11*OFFSET(Populacao!$I$86,'Market Share'!$AF108-1,0)</f>
        <v>0</v>
      </c>
      <c r="P108" s="54">
        <f ca="1">P11*OFFSET(Populacao!$I$86,'Market Share'!$AF108-1,0)</f>
        <v>0</v>
      </c>
      <c r="Q108" s="224">
        <f t="shared" ca="1" si="12"/>
        <v>36.250027878529522</v>
      </c>
      <c r="R108" s="66"/>
      <c r="AF108" s="109">
        <v>4</v>
      </c>
      <c r="AG108" s="109" t="str">
        <f>(IF(AF108&gt;controle_formulario!$I$16,"Ocultar",""))</f>
        <v/>
      </c>
    </row>
    <row r="109" spans="1:33" x14ac:dyDescent="0.3">
      <c r="A109" s="6"/>
      <c r="B109" s="64"/>
      <c r="C109" s="56" t="s">
        <v>22</v>
      </c>
      <c r="D109" s="54">
        <f ca="1">D12*OFFSET(Populacao!$I$86,'Market Share'!$AF109-1,0)</f>
        <v>0</v>
      </c>
      <c r="E109" s="224">
        <f ca="1">E12*OFFSET(Populacao!$I$86,'Market Share'!$AF109-1,0)</f>
        <v>32.715533156880817</v>
      </c>
      <c r="F109" s="224">
        <f ca="1">F12*OFFSET(Populacao!$I$86,'Market Share'!$AF109-1,0)</f>
        <v>0</v>
      </c>
      <c r="G109" s="54">
        <f ca="1">G12*OFFSET(Populacao!$I$86,'Market Share'!$AF109-1,0)</f>
        <v>0</v>
      </c>
      <c r="H109" s="54">
        <f ca="1">H12*OFFSET(Populacao!$I$86,'Market Share'!$AF109-1,0)</f>
        <v>0</v>
      </c>
      <c r="I109" s="224">
        <f t="shared" ca="1" si="11"/>
        <v>32.715533156880817</v>
      </c>
      <c r="J109" s="69"/>
      <c r="K109" s="56" t="s">
        <v>22</v>
      </c>
      <c r="L109" s="224">
        <f ca="1">L12*OFFSET(Populacao!$I$86,'Market Share'!$AF109-1,0)</f>
        <v>32.715533156880817</v>
      </c>
      <c r="M109" s="224">
        <f ca="1">M12*OFFSET(Populacao!$I$86,'Market Share'!$AF109-1,0)</f>
        <v>3.6350592396534243</v>
      </c>
      <c r="N109" s="224">
        <f ca="1">N12*OFFSET(Populacao!$I$86,'Market Share'!$AF109-1,0)</f>
        <v>0</v>
      </c>
      <c r="O109" s="54">
        <f ca="1">O12*OFFSET(Populacao!$I$86,'Market Share'!$AF109-1,0)</f>
        <v>0</v>
      </c>
      <c r="P109" s="54">
        <f ca="1">P12*OFFSET(Populacao!$I$86,'Market Share'!$AF109-1,0)</f>
        <v>0</v>
      </c>
      <c r="Q109" s="224">
        <f t="shared" ca="1" si="12"/>
        <v>36.350592396534239</v>
      </c>
      <c r="R109" s="66"/>
      <c r="AF109" s="109">
        <v>5</v>
      </c>
      <c r="AG109" s="109" t="str">
        <f>(IF(AF109&gt;controle_formulario!$I$16,"Ocultar",""))</f>
        <v/>
      </c>
    </row>
    <row r="110" spans="1:33" hidden="1" x14ac:dyDescent="0.3">
      <c r="A110" s="6"/>
      <c r="B110" s="64"/>
      <c r="C110" s="56" t="s">
        <v>23</v>
      </c>
      <c r="D110" s="54">
        <f ca="1">D13*OFFSET(Populacao!$I$86,'Market Share'!$AF110-1,0)</f>
        <v>0</v>
      </c>
      <c r="E110" s="54">
        <f ca="1">E13*OFFSET(Populacao!$I$86,'Market Share'!$AF110-1,0)</f>
        <v>0</v>
      </c>
      <c r="F110" s="54">
        <f ca="1">F13*OFFSET(Populacao!$I$86,'Market Share'!$AF110-1,0)</f>
        <v>0</v>
      </c>
      <c r="G110" s="54">
        <f ca="1">G13*OFFSET(Populacao!$I$86,'Market Share'!$AF110-1,0)</f>
        <v>0</v>
      </c>
      <c r="H110" s="54">
        <f ca="1">H13*OFFSET(Populacao!$I$86,'Market Share'!$AF110-1,0)</f>
        <v>0</v>
      </c>
      <c r="I110" s="54">
        <f t="shared" ca="1" si="11"/>
        <v>0</v>
      </c>
      <c r="J110" s="69"/>
      <c r="K110" s="56" t="s">
        <v>23</v>
      </c>
      <c r="L110" s="54">
        <f ca="1">L13*OFFSET(Populacao!$I$86,'Market Share'!$AF110-1,0)</f>
        <v>0</v>
      </c>
      <c r="M110" s="54">
        <f ca="1">M13*OFFSET(Populacao!$I$86,'Market Share'!$AF110-1,0)</f>
        <v>0</v>
      </c>
      <c r="N110" s="54">
        <f ca="1">N13*OFFSET(Populacao!$I$86,'Market Share'!$AF110-1,0)</f>
        <v>0</v>
      </c>
      <c r="O110" s="54">
        <f ca="1">O13*OFFSET(Populacao!$I$86,'Market Share'!$AF110-1,0)</f>
        <v>0</v>
      </c>
      <c r="P110" s="54">
        <f ca="1">P13*OFFSET(Populacao!$I$86,'Market Share'!$AF110-1,0)</f>
        <v>0</v>
      </c>
      <c r="Q110" s="54">
        <f t="shared" ca="1" si="12"/>
        <v>0</v>
      </c>
      <c r="R110" s="66"/>
      <c r="AF110" s="109">
        <v>6</v>
      </c>
      <c r="AG110" s="109" t="str">
        <f>(IF(AF110&gt;controle_formulario!$I$16,"Ocultar",""))</f>
        <v>Ocultar</v>
      </c>
    </row>
    <row r="111" spans="1:33" hidden="1" x14ac:dyDescent="0.3">
      <c r="A111" s="6"/>
      <c r="B111" s="64"/>
      <c r="C111" s="56" t="s">
        <v>24</v>
      </c>
      <c r="D111" s="54">
        <f ca="1">D14*OFFSET(Populacao!$I$86,'Market Share'!$AF111-1,0)</f>
        <v>0</v>
      </c>
      <c r="E111" s="54">
        <f ca="1">E14*OFFSET(Populacao!$I$86,'Market Share'!$AF111-1,0)</f>
        <v>0</v>
      </c>
      <c r="F111" s="54">
        <f ca="1">F14*OFFSET(Populacao!$I$86,'Market Share'!$AF111-1,0)</f>
        <v>0</v>
      </c>
      <c r="G111" s="54">
        <f ca="1">G14*OFFSET(Populacao!$I$86,'Market Share'!$AF111-1,0)</f>
        <v>0</v>
      </c>
      <c r="H111" s="54">
        <f ca="1">H14*OFFSET(Populacao!$I$86,'Market Share'!$AF111-1,0)</f>
        <v>0</v>
      </c>
      <c r="I111" s="54">
        <f t="shared" ca="1" si="11"/>
        <v>0</v>
      </c>
      <c r="J111" s="69"/>
      <c r="K111" s="56" t="s">
        <v>24</v>
      </c>
      <c r="L111" s="54">
        <f ca="1">L14*OFFSET(Populacao!$I$86,'Market Share'!$AF111-1,0)</f>
        <v>0</v>
      </c>
      <c r="M111" s="54">
        <f ca="1">M14*OFFSET(Populacao!$I$86,'Market Share'!$AF111-1,0)</f>
        <v>0</v>
      </c>
      <c r="N111" s="54">
        <f ca="1">N14*OFFSET(Populacao!$I$86,'Market Share'!$AF111-1,0)</f>
        <v>0</v>
      </c>
      <c r="O111" s="54">
        <f ca="1">O14*OFFSET(Populacao!$I$86,'Market Share'!$AF111-1,0)</f>
        <v>0</v>
      </c>
      <c r="P111" s="54">
        <f ca="1">P14*OFFSET(Populacao!$I$86,'Market Share'!$AF111-1,0)</f>
        <v>0</v>
      </c>
      <c r="Q111" s="54">
        <f t="shared" ca="1" si="12"/>
        <v>0</v>
      </c>
      <c r="R111" s="66"/>
      <c r="AF111" s="109">
        <v>7</v>
      </c>
      <c r="AG111" s="109" t="str">
        <f>(IF(AF111&gt;controle_formulario!$I$16,"Ocultar",""))</f>
        <v>Ocultar</v>
      </c>
    </row>
    <row r="112" spans="1:33" hidden="1" x14ac:dyDescent="0.3">
      <c r="A112" s="6"/>
      <c r="B112" s="64"/>
      <c r="C112" s="56" t="s">
        <v>25</v>
      </c>
      <c r="D112" s="54">
        <f ca="1">D15*OFFSET(Populacao!$I$86,'Market Share'!$AF112-1,0)</f>
        <v>0</v>
      </c>
      <c r="E112" s="54">
        <f ca="1">E15*OFFSET(Populacao!$I$86,'Market Share'!$AF112-1,0)</f>
        <v>0</v>
      </c>
      <c r="F112" s="54">
        <f ca="1">F15*OFFSET(Populacao!$I$86,'Market Share'!$AF112-1,0)</f>
        <v>0</v>
      </c>
      <c r="G112" s="54">
        <f ca="1">G15*OFFSET(Populacao!$I$86,'Market Share'!$AF112-1,0)</f>
        <v>0</v>
      </c>
      <c r="H112" s="54">
        <f ca="1">H15*OFFSET(Populacao!$I$86,'Market Share'!$AF112-1,0)</f>
        <v>0</v>
      </c>
      <c r="I112" s="54">
        <f t="shared" ca="1" si="11"/>
        <v>0</v>
      </c>
      <c r="J112" s="69"/>
      <c r="K112" s="56" t="s">
        <v>25</v>
      </c>
      <c r="L112" s="54">
        <f ca="1">L15*OFFSET(Populacao!$I$86,'Market Share'!$AF112-1,0)</f>
        <v>0</v>
      </c>
      <c r="M112" s="54">
        <f ca="1">M15*OFFSET(Populacao!$I$86,'Market Share'!$AF112-1,0)</f>
        <v>0</v>
      </c>
      <c r="N112" s="54">
        <f ca="1">N15*OFFSET(Populacao!$I$86,'Market Share'!$AF112-1,0)</f>
        <v>0</v>
      </c>
      <c r="O112" s="54">
        <f ca="1">O15*OFFSET(Populacao!$I$86,'Market Share'!$AF112-1,0)</f>
        <v>0</v>
      </c>
      <c r="P112" s="54">
        <f ca="1">P15*OFFSET(Populacao!$I$86,'Market Share'!$AF112-1,0)</f>
        <v>0</v>
      </c>
      <c r="Q112" s="54">
        <f t="shared" ca="1" si="12"/>
        <v>0</v>
      </c>
      <c r="R112" s="66"/>
      <c r="AF112" s="109">
        <v>8</v>
      </c>
      <c r="AG112" s="109" t="str">
        <f>(IF(AF112&gt;controle_formulario!$I$16,"Ocultar",""))</f>
        <v>Ocultar</v>
      </c>
    </row>
    <row r="113" spans="1:33" hidden="1" x14ac:dyDescent="0.3">
      <c r="A113" s="6"/>
      <c r="B113" s="64"/>
      <c r="C113" s="56" t="s">
        <v>26</v>
      </c>
      <c r="D113" s="54">
        <f ca="1">D16*OFFSET(Populacao!$I$86,'Market Share'!$AF113-1,0)</f>
        <v>0</v>
      </c>
      <c r="E113" s="54">
        <f ca="1">E16*OFFSET(Populacao!$I$86,'Market Share'!$AF113-1,0)</f>
        <v>0</v>
      </c>
      <c r="F113" s="54">
        <f ca="1">F16*OFFSET(Populacao!$I$86,'Market Share'!$AF113-1,0)</f>
        <v>0</v>
      </c>
      <c r="G113" s="54">
        <f ca="1">G16*OFFSET(Populacao!$I$86,'Market Share'!$AF113-1,0)</f>
        <v>0</v>
      </c>
      <c r="H113" s="54">
        <f ca="1">H16*OFFSET(Populacao!$I$86,'Market Share'!$AF113-1,0)</f>
        <v>0</v>
      </c>
      <c r="I113" s="54">
        <f t="shared" ca="1" si="11"/>
        <v>0</v>
      </c>
      <c r="J113" s="69"/>
      <c r="K113" s="56" t="s">
        <v>26</v>
      </c>
      <c r="L113" s="54">
        <f ca="1">L16*OFFSET(Populacao!$I$86,'Market Share'!$AF113-1,0)</f>
        <v>0</v>
      </c>
      <c r="M113" s="54">
        <f ca="1">M16*OFFSET(Populacao!$I$86,'Market Share'!$AF113-1,0)</f>
        <v>0</v>
      </c>
      <c r="N113" s="54">
        <f ca="1">N16*OFFSET(Populacao!$I$86,'Market Share'!$AF113-1,0)</f>
        <v>0</v>
      </c>
      <c r="O113" s="54">
        <f ca="1">O16*OFFSET(Populacao!$I$86,'Market Share'!$AF113-1,0)</f>
        <v>0</v>
      </c>
      <c r="P113" s="54">
        <f ca="1">P16*OFFSET(Populacao!$I$86,'Market Share'!$AF113-1,0)</f>
        <v>0</v>
      </c>
      <c r="Q113" s="54">
        <f t="shared" ca="1" si="12"/>
        <v>0</v>
      </c>
      <c r="R113" s="66"/>
      <c r="AF113" s="109">
        <v>9</v>
      </c>
      <c r="AG113" s="109" t="str">
        <f>(IF(AF113&gt;controle_formulario!$I$16,"Ocultar",""))</f>
        <v>Ocultar</v>
      </c>
    </row>
    <row r="114" spans="1:33" hidden="1" x14ac:dyDescent="0.3">
      <c r="A114" s="6"/>
      <c r="B114" s="64"/>
      <c r="C114" s="56" t="s">
        <v>27</v>
      </c>
      <c r="D114" s="54">
        <f ca="1">D17*OFFSET(Populacao!$I$86,'Market Share'!$AF114-1,0)</f>
        <v>0</v>
      </c>
      <c r="E114" s="54">
        <f ca="1">E17*OFFSET(Populacao!$I$86,'Market Share'!$AF114-1,0)</f>
        <v>0</v>
      </c>
      <c r="F114" s="54">
        <f ca="1">F17*OFFSET(Populacao!$I$86,'Market Share'!$AF114-1,0)</f>
        <v>0</v>
      </c>
      <c r="G114" s="54">
        <f ca="1">G17*OFFSET(Populacao!$I$86,'Market Share'!$AF114-1,0)</f>
        <v>0</v>
      </c>
      <c r="H114" s="54">
        <f ca="1">H17*OFFSET(Populacao!$I$86,'Market Share'!$AF114-1,0)</f>
        <v>0</v>
      </c>
      <c r="I114" s="54">
        <f t="shared" ca="1" si="11"/>
        <v>0</v>
      </c>
      <c r="J114" s="69"/>
      <c r="K114" s="56" t="s">
        <v>27</v>
      </c>
      <c r="L114" s="54">
        <f ca="1">L17*OFFSET(Populacao!$I$86,'Market Share'!$AF114-1,0)</f>
        <v>0</v>
      </c>
      <c r="M114" s="54">
        <f ca="1">M17*OFFSET(Populacao!$I$86,'Market Share'!$AF114-1,0)</f>
        <v>0</v>
      </c>
      <c r="N114" s="54">
        <f ca="1">N17*OFFSET(Populacao!$I$86,'Market Share'!$AF114-1,0)</f>
        <v>0</v>
      </c>
      <c r="O114" s="54">
        <f ca="1">O17*OFFSET(Populacao!$I$86,'Market Share'!$AF114-1,0)</f>
        <v>0</v>
      </c>
      <c r="P114" s="54">
        <f ca="1">P17*OFFSET(Populacao!$I$86,'Market Share'!$AF114-1,0)</f>
        <v>0</v>
      </c>
      <c r="Q114" s="75">
        <f t="shared" ca="1" si="12"/>
        <v>0</v>
      </c>
      <c r="R114" s="66"/>
      <c r="AF114" s="109">
        <v>10</v>
      </c>
      <c r="AG114" s="109" t="str">
        <f>(IF(AF114&gt;controle_formulario!$I$16,"Ocultar",""))</f>
        <v>Ocultar</v>
      </c>
    </row>
    <row r="115" spans="1:33" ht="14.25" customHeight="1" x14ac:dyDescent="0.3">
      <c r="A115" s="6"/>
      <c r="B115" s="64"/>
      <c r="C115" s="56" t="s">
        <v>29</v>
      </c>
      <c r="D115" s="77">
        <f t="shared" ref="D115:I115" ca="1" si="13">SUM(D105:D114)</f>
        <v>0</v>
      </c>
      <c r="E115" s="219">
        <f t="shared" ca="1" si="13"/>
        <v>162.60524848708511</v>
      </c>
      <c r="F115" s="219">
        <f t="shared" ca="1" si="13"/>
        <v>0</v>
      </c>
      <c r="G115" s="77">
        <f t="shared" ca="1" si="13"/>
        <v>0</v>
      </c>
      <c r="H115" s="77">
        <f t="shared" ca="1" si="13"/>
        <v>0</v>
      </c>
      <c r="I115" s="219">
        <f t="shared" ca="1" si="13"/>
        <v>162.60524848708511</v>
      </c>
      <c r="K115" s="56" t="s">
        <v>29</v>
      </c>
      <c r="L115" s="219">
        <f ca="1">SUM(L105:L114)</f>
        <v>144.59400144141162</v>
      </c>
      <c r="M115" s="219">
        <f ca="1">SUM(M105:M114)</f>
        <v>36.078496877571808</v>
      </c>
      <c r="N115" s="228">
        <f ca="1">SUM(N105:N114)</f>
        <v>0</v>
      </c>
      <c r="O115" s="77">
        <f ca="1">SUM(O105:O114)</f>
        <v>0</v>
      </c>
      <c r="P115" s="77">
        <f ca="1">SUM(P105:P114)</f>
        <v>0</v>
      </c>
      <c r="Q115" s="219">
        <f t="shared" ca="1" si="12"/>
        <v>180.67249831898343</v>
      </c>
      <c r="R115" s="66"/>
    </row>
    <row r="116" spans="1:33" ht="14.25" customHeight="1" x14ac:dyDescent="0.3">
      <c r="A116" s="6"/>
      <c r="B116" s="64"/>
      <c r="D116" s="85"/>
      <c r="E116" s="85"/>
      <c r="F116" s="85"/>
      <c r="G116" s="85"/>
      <c r="H116" s="85"/>
      <c r="I116" s="85"/>
      <c r="L116" s="85"/>
      <c r="M116" s="85"/>
      <c r="N116" s="85"/>
      <c r="O116" s="85"/>
      <c r="P116" s="85"/>
      <c r="Q116" s="85"/>
      <c r="R116" s="66"/>
    </row>
    <row r="117" spans="1:33" ht="15.75" customHeight="1" x14ac:dyDescent="0.3">
      <c r="A117" s="6"/>
      <c r="B117" s="64"/>
      <c r="D117" s="85"/>
      <c r="E117" s="85"/>
      <c r="F117" s="85"/>
      <c r="G117" s="85"/>
      <c r="H117" s="85"/>
      <c r="I117" s="85"/>
      <c r="J117" s="48"/>
      <c r="K117" s="48"/>
      <c r="L117" s="48"/>
      <c r="M117" s="48"/>
      <c r="N117" s="48"/>
      <c r="O117" s="48"/>
      <c r="P117" s="48"/>
      <c r="Q117" s="48"/>
      <c r="R117" s="101"/>
    </row>
    <row r="118" spans="1:33" x14ac:dyDescent="0.3">
      <c r="A118" s="6"/>
      <c r="B118" s="64"/>
      <c r="D118" s="85"/>
      <c r="E118" s="85"/>
      <c r="F118" s="85"/>
      <c r="G118" s="85"/>
      <c r="H118" s="85"/>
      <c r="I118" s="85"/>
      <c r="J118" s="48"/>
      <c r="K118" s="48"/>
      <c r="L118" s="48"/>
      <c r="M118" s="48"/>
      <c r="N118" s="48"/>
      <c r="O118" s="48"/>
      <c r="P118" s="48"/>
      <c r="Q118" s="48"/>
      <c r="R118" s="101"/>
    </row>
    <row r="119" spans="1:33" hidden="1" x14ac:dyDescent="0.3">
      <c r="A119" s="6"/>
      <c r="B119" s="64"/>
      <c r="C119" s="73">
        <f>cen.alt2</f>
        <v>0</v>
      </c>
      <c r="D119" s="74"/>
      <c r="E119" s="74"/>
      <c r="F119" s="59"/>
      <c r="G119" s="59"/>
      <c r="H119" s="59"/>
      <c r="I119" s="59"/>
      <c r="J119" s="48"/>
      <c r="K119" s="73" t="str">
        <f>cen.alt3</f>
        <v>Taxa de difusão em X anos: XX%</v>
      </c>
      <c r="L119" s="73"/>
      <c r="M119" s="73"/>
      <c r="N119" s="73"/>
      <c r="O119" s="73"/>
      <c r="P119" s="73"/>
      <c r="Q119" s="73"/>
      <c r="R119" s="101"/>
      <c r="AG119" s="109" t="str">
        <f>IF($C$120&gt;controle_formulario!$E$16,"Ocultar","")</f>
        <v>Ocultar</v>
      </c>
    </row>
    <row r="120" spans="1:33" hidden="1" x14ac:dyDescent="0.3">
      <c r="A120" s="6"/>
      <c r="B120" s="64"/>
      <c r="C120" s="111">
        <v>2</v>
      </c>
      <c r="D120" s="57" t="str">
        <f>trat.novo</f>
        <v>Pirtobrutinibe</v>
      </c>
      <c r="E120" s="57" t="str">
        <f>trat.a</f>
        <v xml:space="preserve"> Conjunto de Tratamentos-Padrão</v>
      </c>
      <c r="F120" s="57">
        <f>trat.b</f>
        <v>0</v>
      </c>
      <c r="G120" s="57">
        <f>trat.c</f>
        <v>0</v>
      </c>
      <c r="H120" s="57">
        <f>trat.d</f>
        <v>0</v>
      </c>
      <c r="I120" s="57" t="s">
        <v>29</v>
      </c>
      <c r="J120" s="48"/>
      <c r="K120" s="111">
        <v>3</v>
      </c>
      <c r="L120" s="57" t="str">
        <f>trat.novo</f>
        <v>Pirtobrutinibe</v>
      </c>
      <c r="M120" s="57" t="str">
        <f>trat.a</f>
        <v xml:space="preserve"> Conjunto de Tratamentos-Padrão</v>
      </c>
      <c r="N120" s="57">
        <f>trat.b</f>
        <v>0</v>
      </c>
      <c r="O120" s="57">
        <f>trat.c</f>
        <v>0</v>
      </c>
      <c r="P120" s="57">
        <f>trat.d</f>
        <v>0</v>
      </c>
      <c r="Q120" s="57" t="s">
        <v>29</v>
      </c>
      <c r="R120" s="101"/>
      <c r="AG120" s="109" t="str">
        <f>IF($C$120&gt;controle_formulario!$E$16,"Ocultar","")</f>
        <v>Ocultar</v>
      </c>
    </row>
    <row r="121" spans="1:33" hidden="1" x14ac:dyDescent="0.3">
      <c r="A121" s="6"/>
      <c r="B121" s="64"/>
      <c r="C121" s="56" t="s">
        <v>18</v>
      </c>
      <c r="D121" s="54">
        <f ca="1">D24*OFFSET(Populacao!$I$86,'Market Share'!$AF121-1,0)</f>
        <v>28.721616940848829</v>
      </c>
      <c r="E121" s="54">
        <f ca="1">E24*OFFSET(Populacao!$I$86,'Market Share'!$AF121-1,0)</f>
        <v>7.1804042352122073</v>
      </c>
      <c r="F121" s="54">
        <f ca="1">F24*OFFSET(Populacao!$I$86,'Market Share'!$AF121-1,0)</f>
        <v>0</v>
      </c>
      <c r="G121" s="54">
        <f ca="1">G24*OFFSET(Populacao!$I$86,'Market Share'!$AF121-1,0)</f>
        <v>0</v>
      </c>
      <c r="H121" s="54">
        <f ca="1">H24*OFFSET(Populacao!$I$86,'Market Share'!$AF121-1,0)</f>
        <v>0</v>
      </c>
      <c r="I121" s="54">
        <f ca="1">SUM(D121:H121)</f>
        <v>35.902021176061034</v>
      </c>
      <c r="J121" s="48"/>
      <c r="K121" s="56" t="s">
        <v>18</v>
      </c>
      <c r="L121" s="54">
        <f ca="1">L24*OFFSET(Populacao!$I$86,'Market Share'!$AF121-1,0)</f>
        <v>0</v>
      </c>
      <c r="M121" s="54">
        <f ca="1">M24*OFFSET(Populacao!$I$86,'Market Share'!$AF121-1,0)</f>
        <v>0</v>
      </c>
      <c r="N121" s="54">
        <f ca="1">N24*OFFSET(Populacao!$I$86,'Market Share'!$AF121-1,0)</f>
        <v>0</v>
      </c>
      <c r="O121" s="54">
        <f ca="1">O24*OFFSET(Populacao!$I$86,'Market Share'!$AF121-1,0)</f>
        <v>0</v>
      </c>
      <c r="P121" s="54">
        <f ca="1">P24*OFFSET(Populacao!$I$86,'Market Share'!$AF121-1,0)</f>
        <v>0</v>
      </c>
      <c r="Q121" s="54">
        <f ca="1">SUM(L121:P121)</f>
        <v>0</v>
      </c>
      <c r="R121" s="101"/>
      <c r="AF121" s="110">
        <v>1</v>
      </c>
      <c r="AG121" s="109" t="str">
        <f>IF($C$120&gt;controle_formulario!$E$16,"Ocultar","")</f>
        <v>Ocultar</v>
      </c>
    </row>
    <row r="122" spans="1:33" hidden="1" x14ac:dyDescent="0.3">
      <c r="A122" s="6"/>
      <c r="B122" s="64"/>
      <c r="C122" s="56" t="s">
        <v>19</v>
      </c>
      <c r="D122" s="54">
        <f ca="1">D25*OFFSET(Populacao!$I$86,'Market Share'!$AF122-1,0)</f>
        <v>32.424403135480489</v>
      </c>
      <c r="E122" s="54">
        <f ca="1">E25*OFFSET(Populacao!$I$86,'Market Share'!$AF122-1,0)</f>
        <v>3.6027114594978324</v>
      </c>
      <c r="F122" s="54">
        <f ca="1">F25*OFFSET(Populacao!$I$86,'Market Share'!$AF122-1,0)</f>
        <v>0</v>
      </c>
      <c r="G122" s="54">
        <f ca="1">G25*OFFSET(Populacao!$I$86,'Market Share'!$AF122-1,0)</f>
        <v>0</v>
      </c>
      <c r="H122" s="54">
        <f ca="1">H25*OFFSET(Populacao!$I$86,'Market Share'!$AF122-1,0)</f>
        <v>0</v>
      </c>
      <c r="I122" s="54">
        <f t="shared" ref="I122:I131" ca="1" si="14">SUM(D122:H122)</f>
        <v>36.027114594978322</v>
      </c>
      <c r="J122" s="48"/>
      <c r="K122" s="56" t="s">
        <v>19</v>
      </c>
      <c r="L122" s="54">
        <f ca="1">L25*OFFSET(Populacao!$I$86,'Market Share'!$AF122-1,0)</f>
        <v>0</v>
      </c>
      <c r="M122" s="54">
        <f ca="1">M25*OFFSET(Populacao!$I$86,'Market Share'!$AF122-1,0)</f>
        <v>0</v>
      </c>
      <c r="N122" s="54">
        <f ca="1">N25*OFFSET(Populacao!$I$86,'Market Share'!$AF122-1,0)</f>
        <v>0</v>
      </c>
      <c r="O122" s="54">
        <f ca="1">O25*OFFSET(Populacao!$I$86,'Market Share'!$AF122-1,0)</f>
        <v>0</v>
      </c>
      <c r="P122" s="54">
        <f ca="1">P25*OFFSET(Populacao!$I$86,'Market Share'!$AF122-1,0)</f>
        <v>0</v>
      </c>
      <c r="Q122" s="54">
        <f t="shared" ref="Q122:Q131" ca="1" si="15">SUM(L122:P122)</f>
        <v>0</v>
      </c>
      <c r="R122" s="101"/>
      <c r="AF122" s="109">
        <v>2</v>
      </c>
      <c r="AG122" s="109" t="str">
        <f>(IF(OR(AF122&gt;controle_formulario!$I$16,$C$120&gt;controle_formulario!$E$16),"Ocultar",""))</f>
        <v>Ocultar</v>
      </c>
    </row>
    <row r="123" spans="1:33" hidden="1" x14ac:dyDescent="0.3">
      <c r="A123" s="6"/>
      <c r="B123" s="64"/>
      <c r="C123" s="56" t="s">
        <v>20</v>
      </c>
      <c r="D123" s="54">
        <f ca="1">D26*OFFSET(Populacao!$I$86,'Market Share'!$AF123-1,0)</f>
        <v>32.528468045592291</v>
      </c>
      <c r="E123" s="54">
        <f ca="1">E26*OFFSET(Populacao!$I$86,'Market Share'!$AF123-1,0)</f>
        <v>3.6142742272880319</v>
      </c>
      <c r="F123" s="54">
        <f ca="1">F26*OFFSET(Populacao!$I$86,'Market Share'!$AF123-1,0)</f>
        <v>0</v>
      </c>
      <c r="G123" s="54">
        <f ca="1">G26*OFFSET(Populacao!$I$86,'Market Share'!$AF123-1,0)</f>
        <v>0</v>
      </c>
      <c r="H123" s="54">
        <f ca="1">H26*OFFSET(Populacao!$I$86,'Market Share'!$AF123-1,0)</f>
        <v>0</v>
      </c>
      <c r="I123" s="54">
        <f t="shared" ca="1" si="14"/>
        <v>36.142742272880326</v>
      </c>
      <c r="J123" s="48"/>
      <c r="K123" s="56" t="s">
        <v>20</v>
      </c>
      <c r="L123" s="54">
        <f ca="1">L26*OFFSET(Populacao!$I$86,'Market Share'!$AF123-1,0)</f>
        <v>0</v>
      </c>
      <c r="M123" s="54">
        <f ca="1">M26*OFFSET(Populacao!$I$86,'Market Share'!$AF123-1,0)</f>
        <v>0</v>
      </c>
      <c r="N123" s="54">
        <f ca="1">N26*OFFSET(Populacao!$I$86,'Market Share'!$AF123-1,0)</f>
        <v>0</v>
      </c>
      <c r="O123" s="54">
        <f ca="1">O26*OFFSET(Populacao!$I$86,'Market Share'!$AF123-1,0)</f>
        <v>0</v>
      </c>
      <c r="P123" s="54">
        <f ca="1">P26*OFFSET(Populacao!$I$86,'Market Share'!$AF123-1,0)</f>
        <v>0</v>
      </c>
      <c r="Q123" s="54">
        <f t="shared" ca="1" si="15"/>
        <v>0</v>
      </c>
      <c r="R123" s="101"/>
      <c r="AF123" s="109">
        <v>3</v>
      </c>
      <c r="AG123" s="109" t="str">
        <f>(IF(OR(AF123&gt;controle_formulario!$I$16,$C$120&gt;controle_formulario!$E$16),"Ocultar",""))</f>
        <v>Ocultar</v>
      </c>
    </row>
    <row r="124" spans="1:33" hidden="1" x14ac:dyDescent="0.3">
      <c r="A124" s="6"/>
      <c r="B124" s="64"/>
      <c r="C124" s="56" t="s">
        <v>21</v>
      </c>
      <c r="D124" s="54">
        <f ca="1">D27*OFFSET(Populacao!$I$86,'Market Share'!$AF124-1,0)</f>
        <v>32.625025090676573</v>
      </c>
      <c r="E124" s="54">
        <f ca="1">E27*OFFSET(Populacao!$I$86,'Market Share'!$AF124-1,0)</f>
        <v>3.6250027878529525</v>
      </c>
      <c r="F124" s="54">
        <f ca="1">F27*OFFSET(Populacao!$I$86,'Market Share'!$AF124-1,0)</f>
        <v>0</v>
      </c>
      <c r="G124" s="54">
        <f ca="1">G27*OFFSET(Populacao!$I$86,'Market Share'!$AF124-1,0)</f>
        <v>0</v>
      </c>
      <c r="H124" s="54">
        <f ca="1">H27*OFFSET(Populacao!$I$86,'Market Share'!$AF124-1,0)</f>
        <v>0</v>
      </c>
      <c r="I124" s="54">
        <f t="shared" ca="1" si="14"/>
        <v>36.250027878529522</v>
      </c>
      <c r="J124" s="48"/>
      <c r="K124" s="56" t="s">
        <v>21</v>
      </c>
      <c r="L124" s="54">
        <f ca="1">L27*OFFSET(Populacao!$I$86,'Market Share'!$AF124-1,0)</f>
        <v>0</v>
      </c>
      <c r="M124" s="54">
        <f ca="1">M27*OFFSET(Populacao!$I$86,'Market Share'!$AF124-1,0)</f>
        <v>0</v>
      </c>
      <c r="N124" s="54">
        <f ca="1">N27*OFFSET(Populacao!$I$86,'Market Share'!$AF124-1,0)</f>
        <v>0</v>
      </c>
      <c r="O124" s="54">
        <f ca="1">O27*OFFSET(Populacao!$I$86,'Market Share'!$AF124-1,0)</f>
        <v>0</v>
      </c>
      <c r="P124" s="54">
        <f ca="1">P27*OFFSET(Populacao!$I$86,'Market Share'!$AF124-1,0)</f>
        <v>0</v>
      </c>
      <c r="Q124" s="54">
        <f t="shared" ca="1" si="15"/>
        <v>0</v>
      </c>
      <c r="R124" s="101"/>
      <c r="AF124" s="109">
        <v>4</v>
      </c>
      <c r="AG124" s="109" t="str">
        <f>(IF(OR(AF124&gt;controle_formulario!$I$16,$C$120&gt;controle_formulario!$E$16),"Ocultar",""))</f>
        <v>Ocultar</v>
      </c>
    </row>
    <row r="125" spans="1:33" hidden="1" x14ac:dyDescent="0.3">
      <c r="A125" s="6"/>
      <c r="B125" s="64"/>
      <c r="C125" s="56" t="s">
        <v>22</v>
      </c>
      <c r="D125" s="54">
        <f ca="1">D28*OFFSET(Populacao!$I$86,'Market Share'!$AF125-1,0)</f>
        <v>32.715533156880817</v>
      </c>
      <c r="E125" s="54">
        <f ca="1">E28*OFFSET(Populacao!$I$86,'Market Share'!$AF125-1,0)</f>
        <v>3.6350592396534243</v>
      </c>
      <c r="F125" s="54">
        <f ca="1">F28*OFFSET(Populacao!$I$86,'Market Share'!$AF125-1,0)</f>
        <v>0</v>
      </c>
      <c r="G125" s="54">
        <f ca="1">G28*OFFSET(Populacao!$I$86,'Market Share'!$AF125-1,0)</f>
        <v>0</v>
      </c>
      <c r="H125" s="54">
        <f ca="1">H28*OFFSET(Populacao!$I$86,'Market Share'!$AF125-1,0)</f>
        <v>0</v>
      </c>
      <c r="I125" s="54">
        <f t="shared" ca="1" si="14"/>
        <v>36.350592396534239</v>
      </c>
      <c r="J125" s="48"/>
      <c r="K125" s="56" t="s">
        <v>22</v>
      </c>
      <c r="L125" s="54">
        <f ca="1">L28*OFFSET(Populacao!$I$86,'Market Share'!$AF125-1,0)</f>
        <v>0</v>
      </c>
      <c r="M125" s="54">
        <f ca="1">M28*OFFSET(Populacao!$I$86,'Market Share'!$AF125-1,0)</f>
        <v>0</v>
      </c>
      <c r="N125" s="54">
        <f ca="1">N28*OFFSET(Populacao!$I$86,'Market Share'!$AF125-1,0)</f>
        <v>0</v>
      </c>
      <c r="O125" s="54">
        <f ca="1">O28*OFFSET(Populacao!$I$86,'Market Share'!$AF125-1,0)</f>
        <v>0</v>
      </c>
      <c r="P125" s="54">
        <f ca="1">P28*OFFSET(Populacao!$I$86,'Market Share'!$AF125-1,0)</f>
        <v>0</v>
      </c>
      <c r="Q125" s="54">
        <f t="shared" ca="1" si="15"/>
        <v>0</v>
      </c>
      <c r="R125" s="101"/>
      <c r="AF125" s="109">
        <v>5</v>
      </c>
      <c r="AG125" s="109" t="str">
        <f>(IF(OR(AF125&gt;controle_formulario!$I$16,$C$120&gt;controle_formulario!$E$16),"Ocultar",""))</f>
        <v>Ocultar</v>
      </c>
    </row>
    <row r="126" spans="1:33" hidden="1" x14ac:dyDescent="0.3">
      <c r="A126" s="6"/>
      <c r="B126" s="64"/>
      <c r="C126" s="56" t="s">
        <v>23</v>
      </c>
      <c r="D126" s="54">
        <f ca="1">D29*OFFSET(Populacao!$I$86,'Market Share'!$AF126-1,0)</f>
        <v>0</v>
      </c>
      <c r="E126" s="54">
        <f ca="1">E29*OFFSET(Populacao!$I$86,'Market Share'!$AF126-1,0)</f>
        <v>0</v>
      </c>
      <c r="F126" s="54">
        <f ca="1">F29*OFFSET(Populacao!$I$86,'Market Share'!$AF126-1,0)</f>
        <v>0</v>
      </c>
      <c r="G126" s="54">
        <f ca="1">G29*OFFSET(Populacao!$I$86,'Market Share'!$AF126-1,0)</f>
        <v>0</v>
      </c>
      <c r="H126" s="54">
        <f ca="1">H29*OFFSET(Populacao!$I$86,'Market Share'!$AF126-1,0)</f>
        <v>0</v>
      </c>
      <c r="I126" s="54">
        <f t="shared" ca="1" si="14"/>
        <v>0</v>
      </c>
      <c r="J126" s="48"/>
      <c r="K126" s="56" t="s">
        <v>23</v>
      </c>
      <c r="L126" s="54">
        <f ca="1">L29*OFFSET(Populacao!$I$86,'Market Share'!$AF126-1,0)</f>
        <v>0</v>
      </c>
      <c r="M126" s="54">
        <f ca="1">M29*OFFSET(Populacao!$I$86,'Market Share'!$AF126-1,0)</f>
        <v>0</v>
      </c>
      <c r="N126" s="54">
        <f ca="1">N29*OFFSET(Populacao!$I$86,'Market Share'!$AF126-1,0)</f>
        <v>0</v>
      </c>
      <c r="O126" s="54">
        <f ca="1">O29*OFFSET(Populacao!$I$86,'Market Share'!$AF126-1,0)</f>
        <v>0</v>
      </c>
      <c r="P126" s="54">
        <f ca="1">P29*OFFSET(Populacao!$I$86,'Market Share'!$AF126-1,0)</f>
        <v>0</v>
      </c>
      <c r="Q126" s="54">
        <f t="shared" ca="1" si="15"/>
        <v>0</v>
      </c>
      <c r="R126" s="101"/>
      <c r="AF126" s="109">
        <v>6</v>
      </c>
      <c r="AG126" s="109" t="str">
        <f>(IF(OR(AF126&gt;controle_formulario!$I$16,$C$120&gt;controle_formulario!$E$16),"Ocultar",""))</f>
        <v>Ocultar</v>
      </c>
    </row>
    <row r="127" spans="1:33" hidden="1" x14ac:dyDescent="0.3">
      <c r="A127" s="6"/>
      <c r="B127" s="64"/>
      <c r="C127" s="56" t="s">
        <v>24</v>
      </c>
      <c r="D127" s="54">
        <f ca="1">D30*OFFSET(Populacao!$I$86,'Market Share'!$AF127-1,0)</f>
        <v>0</v>
      </c>
      <c r="E127" s="54">
        <f ca="1">E30*OFFSET(Populacao!$I$86,'Market Share'!$AF127-1,0)</f>
        <v>0</v>
      </c>
      <c r="F127" s="54">
        <f ca="1">F30*OFFSET(Populacao!$I$86,'Market Share'!$AF127-1,0)</f>
        <v>0</v>
      </c>
      <c r="G127" s="54">
        <f ca="1">G30*OFFSET(Populacao!$I$86,'Market Share'!$AF127-1,0)</f>
        <v>0</v>
      </c>
      <c r="H127" s="54">
        <f ca="1">H30*OFFSET(Populacao!$I$86,'Market Share'!$AF127-1,0)</f>
        <v>0</v>
      </c>
      <c r="I127" s="54">
        <f t="shared" ca="1" si="14"/>
        <v>0</v>
      </c>
      <c r="J127" s="48"/>
      <c r="K127" s="56" t="s">
        <v>24</v>
      </c>
      <c r="L127" s="54">
        <f ca="1">L30*OFFSET(Populacao!$I$86,'Market Share'!$AF127-1,0)</f>
        <v>0</v>
      </c>
      <c r="M127" s="54">
        <f ca="1">M30*OFFSET(Populacao!$I$86,'Market Share'!$AF127-1,0)</f>
        <v>0</v>
      </c>
      <c r="N127" s="54">
        <f ca="1">N30*OFFSET(Populacao!$I$86,'Market Share'!$AF127-1,0)</f>
        <v>0</v>
      </c>
      <c r="O127" s="54">
        <f ca="1">O30*OFFSET(Populacao!$I$86,'Market Share'!$AF127-1,0)</f>
        <v>0</v>
      </c>
      <c r="P127" s="54">
        <f ca="1">P30*OFFSET(Populacao!$I$86,'Market Share'!$AF127-1,0)</f>
        <v>0</v>
      </c>
      <c r="Q127" s="54">
        <f t="shared" ca="1" si="15"/>
        <v>0</v>
      </c>
      <c r="R127" s="101"/>
      <c r="AF127" s="109">
        <v>7</v>
      </c>
      <c r="AG127" s="109" t="str">
        <f>(IF(OR(AF127&gt;controle_formulario!$I$16,$C$120&gt;controle_formulario!$E$16),"Ocultar",""))</f>
        <v>Ocultar</v>
      </c>
    </row>
    <row r="128" spans="1:33" hidden="1" x14ac:dyDescent="0.3">
      <c r="A128" s="6"/>
      <c r="B128" s="64"/>
      <c r="C128" s="56" t="s">
        <v>25</v>
      </c>
      <c r="D128" s="54">
        <f ca="1">D31*OFFSET(Populacao!$I$86,'Market Share'!$AF128-1,0)</f>
        <v>0</v>
      </c>
      <c r="E128" s="54">
        <f ca="1">E31*OFFSET(Populacao!$I$86,'Market Share'!$AF128-1,0)</f>
        <v>0</v>
      </c>
      <c r="F128" s="54">
        <f ca="1">F31*OFFSET(Populacao!$I$86,'Market Share'!$AF128-1,0)</f>
        <v>0</v>
      </c>
      <c r="G128" s="54">
        <f ca="1">G31*OFFSET(Populacao!$I$86,'Market Share'!$AF128-1,0)</f>
        <v>0</v>
      </c>
      <c r="H128" s="54">
        <f ca="1">H31*OFFSET(Populacao!$I$86,'Market Share'!$AF128-1,0)</f>
        <v>0</v>
      </c>
      <c r="I128" s="54">
        <f t="shared" ca="1" si="14"/>
        <v>0</v>
      </c>
      <c r="J128" s="48"/>
      <c r="K128" s="56" t="s">
        <v>25</v>
      </c>
      <c r="L128" s="54">
        <f ca="1">L31*OFFSET(Populacao!$I$86,'Market Share'!$AF128-1,0)</f>
        <v>0</v>
      </c>
      <c r="M128" s="54">
        <f ca="1">M31*OFFSET(Populacao!$I$86,'Market Share'!$AF128-1,0)</f>
        <v>0</v>
      </c>
      <c r="N128" s="54">
        <f ca="1">N31*OFFSET(Populacao!$I$86,'Market Share'!$AF128-1,0)</f>
        <v>0</v>
      </c>
      <c r="O128" s="54">
        <f ca="1">O31*OFFSET(Populacao!$I$86,'Market Share'!$AF128-1,0)</f>
        <v>0</v>
      </c>
      <c r="P128" s="54">
        <f ca="1">P31*OFFSET(Populacao!$I$86,'Market Share'!$AF128-1,0)</f>
        <v>0</v>
      </c>
      <c r="Q128" s="54">
        <f t="shared" ca="1" si="15"/>
        <v>0</v>
      </c>
      <c r="R128" s="101"/>
      <c r="AF128" s="109">
        <v>8</v>
      </c>
      <c r="AG128" s="109" t="str">
        <f>(IF(OR(AF128&gt;controle_formulario!$I$16,$C$120&gt;controle_formulario!$E$16),"Ocultar",""))</f>
        <v>Ocultar</v>
      </c>
    </row>
    <row r="129" spans="1:33" hidden="1" x14ac:dyDescent="0.3">
      <c r="A129" s="6"/>
      <c r="B129" s="64"/>
      <c r="C129" s="56" t="s">
        <v>26</v>
      </c>
      <c r="D129" s="54">
        <f ca="1">D32*OFFSET(Populacao!$I$86,'Market Share'!$AF129-1,0)</f>
        <v>0</v>
      </c>
      <c r="E129" s="54">
        <f ca="1">E32*OFFSET(Populacao!$I$86,'Market Share'!$AF129-1,0)</f>
        <v>0</v>
      </c>
      <c r="F129" s="54">
        <f ca="1">F32*OFFSET(Populacao!$I$86,'Market Share'!$AF129-1,0)</f>
        <v>0</v>
      </c>
      <c r="G129" s="54">
        <f ca="1">G32*OFFSET(Populacao!$I$86,'Market Share'!$AF129-1,0)</f>
        <v>0</v>
      </c>
      <c r="H129" s="54">
        <f ca="1">H32*OFFSET(Populacao!$I$86,'Market Share'!$AF129-1,0)</f>
        <v>0</v>
      </c>
      <c r="I129" s="54">
        <f t="shared" ca="1" si="14"/>
        <v>0</v>
      </c>
      <c r="J129" s="48"/>
      <c r="K129" s="56" t="s">
        <v>26</v>
      </c>
      <c r="L129" s="54">
        <f ca="1">L32*OFFSET(Populacao!$I$86,'Market Share'!$AF129-1,0)</f>
        <v>0</v>
      </c>
      <c r="M129" s="54">
        <f ca="1">M32*OFFSET(Populacao!$I$86,'Market Share'!$AF129-1,0)</f>
        <v>0</v>
      </c>
      <c r="N129" s="54">
        <f ca="1">N32*OFFSET(Populacao!$I$86,'Market Share'!$AF129-1,0)</f>
        <v>0</v>
      </c>
      <c r="O129" s="54">
        <f ca="1">O32*OFFSET(Populacao!$I$86,'Market Share'!$AF129-1,0)</f>
        <v>0</v>
      </c>
      <c r="P129" s="54">
        <f ca="1">P32*OFFSET(Populacao!$I$86,'Market Share'!$AF129-1,0)</f>
        <v>0</v>
      </c>
      <c r="Q129" s="54">
        <f t="shared" ca="1" si="15"/>
        <v>0</v>
      </c>
      <c r="R129" s="101"/>
      <c r="AF129" s="109">
        <v>9</v>
      </c>
      <c r="AG129" s="109" t="str">
        <f>(IF(OR(AF129&gt;controle_formulario!$I$16,$C$120&gt;controle_formulario!$E$16),"Ocultar",""))</f>
        <v>Ocultar</v>
      </c>
    </row>
    <row r="130" spans="1:33" hidden="1" x14ac:dyDescent="0.3">
      <c r="A130" s="6"/>
      <c r="B130" s="64"/>
      <c r="C130" s="56" t="s">
        <v>27</v>
      </c>
      <c r="D130" s="54">
        <f ca="1">D33*OFFSET(Populacao!$I$86,'Market Share'!$AF130-1,0)</f>
        <v>0</v>
      </c>
      <c r="E130" s="54">
        <f ca="1">E33*OFFSET(Populacao!$I$86,'Market Share'!$AF130-1,0)</f>
        <v>0</v>
      </c>
      <c r="F130" s="54">
        <f ca="1">F33*OFFSET(Populacao!$I$86,'Market Share'!$AF130-1,0)</f>
        <v>0</v>
      </c>
      <c r="G130" s="54">
        <f ca="1">G33*OFFSET(Populacao!$I$86,'Market Share'!$AF130-1,0)</f>
        <v>0</v>
      </c>
      <c r="H130" s="54">
        <f ca="1">H33*OFFSET(Populacao!$I$86,'Market Share'!$AF130-1,0)</f>
        <v>0</v>
      </c>
      <c r="I130" s="54">
        <f t="shared" ca="1" si="14"/>
        <v>0</v>
      </c>
      <c r="J130" s="48"/>
      <c r="K130" s="56" t="s">
        <v>27</v>
      </c>
      <c r="L130" s="54">
        <f ca="1">L33*OFFSET(Populacao!$I$86,'Market Share'!$AF130-1,0)</f>
        <v>0</v>
      </c>
      <c r="M130" s="54">
        <f ca="1">M33*OFFSET(Populacao!$I$86,'Market Share'!$AF130-1,0)</f>
        <v>0</v>
      </c>
      <c r="N130" s="54">
        <f ca="1">N33*OFFSET(Populacao!$I$86,'Market Share'!$AF130-1,0)</f>
        <v>0</v>
      </c>
      <c r="O130" s="54">
        <f ca="1">O33*OFFSET(Populacao!$I$86,'Market Share'!$AF130-1,0)</f>
        <v>0</v>
      </c>
      <c r="P130" s="54">
        <f ca="1">P33*OFFSET(Populacao!$I$86,'Market Share'!$AF130-1,0)</f>
        <v>0</v>
      </c>
      <c r="Q130" s="75">
        <f t="shared" ca="1" si="15"/>
        <v>0</v>
      </c>
      <c r="R130" s="101"/>
      <c r="AF130" s="109">
        <v>10</v>
      </c>
      <c r="AG130" s="109" t="str">
        <f>(IF(OR(AF130&gt;controle_formulario!$I$16,$C$120&gt;controle_formulario!$E$16),"Ocultar",""))</f>
        <v>Ocultar</v>
      </c>
    </row>
    <row r="131" spans="1:33" hidden="1" x14ac:dyDescent="0.3">
      <c r="A131" s="6"/>
      <c r="B131" s="64"/>
      <c r="C131" s="56" t="s">
        <v>29</v>
      </c>
      <c r="D131" s="77">
        <f ca="1">SUM(D121:D130)</f>
        <v>159.01504636947899</v>
      </c>
      <c r="E131" s="77">
        <f ca="1">SUM(E121:E130)</f>
        <v>21.657451949504448</v>
      </c>
      <c r="F131" s="77">
        <f ca="1">SUM(F121:F130)</f>
        <v>0</v>
      </c>
      <c r="G131" s="77">
        <f ca="1">SUM(G121:G130)</f>
        <v>0</v>
      </c>
      <c r="H131" s="77">
        <f ca="1">SUM(H121:H130)</f>
        <v>0</v>
      </c>
      <c r="I131" s="77">
        <f t="shared" ca="1" si="14"/>
        <v>180.67249831898346</v>
      </c>
      <c r="J131" s="48"/>
      <c r="K131" s="56" t="s">
        <v>29</v>
      </c>
      <c r="L131" s="77">
        <f ca="1">SUM(L121:L130)</f>
        <v>0</v>
      </c>
      <c r="M131" s="77">
        <f ca="1">SUM(M121:M130)</f>
        <v>0</v>
      </c>
      <c r="N131" s="77">
        <f ca="1">SUM(N121:N130)</f>
        <v>0</v>
      </c>
      <c r="O131" s="77">
        <f ca="1">SUM(O121:O130)</f>
        <v>0</v>
      </c>
      <c r="P131" s="77">
        <f ca="1">SUM(P121:P130)</f>
        <v>0</v>
      </c>
      <c r="Q131" s="77">
        <f t="shared" ca="1" si="15"/>
        <v>0</v>
      </c>
      <c r="R131" s="101"/>
      <c r="AG131" s="109" t="str">
        <f>IF($C$120&gt;controle_formulario!$E$16,"Ocultar","")</f>
        <v>Ocultar</v>
      </c>
    </row>
    <row r="132" spans="1:33" x14ac:dyDescent="0.3">
      <c r="A132" s="6"/>
      <c r="B132" s="100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101"/>
    </row>
    <row r="133" spans="1:33" x14ac:dyDescent="0.3">
      <c r="A133" s="6"/>
      <c r="B133" s="100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101"/>
    </row>
    <row r="134" spans="1:33" x14ac:dyDescent="0.3">
      <c r="A134" s="6"/>
      <c r="B134" s="100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101"/>
    </row>
    <row r="135" spans="1:33" hidden="1" x14ac:dyDescent="0.3">
      <c r="A135" s="6"/>
      <c r="B135" s="64"/>
      <c r="C135" s="73" t="str">
        <f>cen.alt4</f>
        <v>Taxa de difusão em X anos: XX%</v>
      </c>
      <c r="D135" s="74"/>
      <c r="E135" s="74"/>
      <c r="F135" s="59"/>
      <c r="G135" s="59"/>
      <c r="H135" s="59"/>
      <c r="I135" s="59"/>
      <c r="J135" s="48"/>
      <c r="K135" s="73" t="str">
        <f>cen.alt5</f>
        <v>Taxa de difusão em X anos: XX%</v>
      </c>
      <c r="L135" s="73"/>
      <c r="M135" s="73"/>
      <c r="N135" s="73"/>
      <c r="O135" s="73"/>
      <c r="P135" s="73"/>
      <c r="Q135" s="73"/>
      <c r="R135" s="101"/>
      <c r="AG135" s="109" t="str">
        <f>IF($C$136&gt;controle_formulario!$E$16,"Ocultar","")</f>
        <v>Ocultar</v>
      </c>
    </row>
    <row r="136" spans="1:33" hidden="1" x14ac:dyDescent="0.3">
      <c r="A136" s="6"/>
      <c r="B136" s="64"/>
      <c r="C136" s="111">
        <v>4</v>
      </c>
      <c r="D136" s="57" t="str">
        <f>trat.novo</f>
        <v>Pirtobrutinibe</v>
      </c>
      <c r="E136" s="57" t="str">
        <f>trat.a</f>
        <v xml:space="preserve"> Conjunto de Tratamentos-Padrão</v>
      </c>
      <c r="F136" s="57">
        <f>trat.b</f>
        <v>0</v>
      </c>
      <c r="G136" s="57">
        <f>trat.c</f>
        <v>0</v>
      </c>
      <c r="H136" s="57">
        <f>trat.d</f>
        <v>0</v>
      </c>
      <c r="I136" s="57" t="s">
        <v>29</v>
      </c>
      <c r="J136" s="48"/>
      <c r="K136" s="111">
        <v>5</v>
      </c>
      <c r="L136" s="57" t="str">
        <f>trat.novo</f>
        <v>Pirtobrutinibe</v>
      </c>
      <c r="M136" s="57" t="str">
        <f>trat.a</f>
        <v xml:space="preserve"> Conjunto de Tratamentos-Padrão</v>
      </c>
      <c r="N136" s="57">
        <f>trat.b</f>
        <v>0</v>
      </c>
      <c r="O136" s="57">
        <f>trat.c</f>
        <v>0</v>
      </c>
      <c r="P136" s="57">
        <f>trat.d</f>
        <v>0</v>
      </c>
      <c r="Q136" s="57" t="s">
        <v>29</v>
      </c>
      <c r="R136" s="101"/>
      <c r="AG136" s="109" t="str">
        <f>IF($C$136&gt;controle_formulario!$E$16,"Ocultar","")</f>
        <v>Ocultar</v>
      </c>
    </row>
    <row r="137" spans="1:33" hidden="1" x14ac:dyDescent="0.3">
      <c r="A137" s="6"/>
      <c r="B137" s="64"/>
      <c r="C137" s="56" t="s">
        <v>18</v>
      </c>
      <c r="D137" s="54">
        <f ca="1">D40*OFFSET(Populacao!$I$86,'Market Share'!$AF137-1,0)</f>
        <v>0</v>
      </c>
      <c r="E137" s="54">
        <f ca="1">E40*OFFSET(Populacao!$I$86,'Market Share'!$AF137-1,0)</f>
        <v>0</v>
      </c>
      <c r="F137" s="54">
        <f ca="1">F40*OFFSET(Populacao!$I$86,'Market Share'!$AF137-1,0)</f>
        <v>0</v>
      </c>
      <c r="G137" s="54">
        <f ca="1">G40*OFFSET(Populacao!$I$86,'Market Share'!$AF137-1,0)</f>
        <v>0</v>
      </c>
      <c r="H137" s="54">
        <f ca="1">H40*OFFSET(Populacao!$I$86,'Market Share'!$AF137-1,0)</f>
        <v>0</v>
      </c>
      <c r="I137" s="54">
        <f ca="1">SUM(D137:H137)</f>
        <v>0</v>
      </c>
      <c r="J137" s="48"/>
      <c r="K137" s="56" t="s">
        <v>18</v>
      </c>
      <c r="L137" s="54">
        <f ca="1">L40*OFFSET(Populacao!$I$86,'Market Share'!$AF137-1,0)</f>
        <v>0</v>
      </c>
      <c r="M137" s="54">
        <f ca="1">M40*OFFSET(Populacao!$I$86,'Market Share'!$AF137-1,0)</f>
        <v>0</v>
      </c>
      <c r="N137" s="54">
        <f ca="1">N40*OFFSET(Populacao!$I$86,'Market Share'!$AF137-1,0)</f>
        <v>0</v>
      </c>
      <c r="O137" s="54">
        <f ca="1">O40*OFFSET(Populacao!$I$86,'Market Share'!$AF137-1,0)</f>
        <v>0</v>
      </c>
      <c r="P137" s="54">
        <f ca="1">P40*OFFSET(Populacao!$I$86,'Market Share'!$AF137-1,0)</f>
        <v>0</v>
      </c>
      <c r="Q137" s="54">
        <f ca="1">SUM(L137:P137)</f>
        <v>0</v>
      </c>
      <c r="R137" s="101"/>
      <c r="AF137" s="110">
        <v>1</v>
      </c>
      <c r="AG137" s="109" t="str">
        <f>IF($C$136&gt;controle_formulario!$E$16,"Ocultar","")</f>
        <v>Ocultar</v>
      </c>
    </row>
    <row r="138" spans="1:33" hidden="1" x14ac:dyDescent="0.3">
      <c r="A138" s="6"/>
      <c r="B138" s="64"/>
      <c r="C138" s="56" t="s">
        <v>19</v>
      </c>
      <c r="D138" s="54">
        <f ca="1">D41*OFFSET(Populacao!$I$86,'Market Share'!$AF138-1,0)</f>
        <v>0</v>
      </c>
      <c r="E138" s="54">
        <f ca="1">E41*OFFSET(Populacao!$I$86,'Market Share'!$AF138-1,0)</f>
        <v>0</v>
      </c>
      <c r="F138" s="54">
        <f ca="1">F41*OFFSET(Populacao!$I$86,'Market Share'!$AF138-1,0)</f>
        <v>0</v>
      </c>
      <c r="G138" s="54">
        <f ca="1">G41*OFFSET(Populacao!$I$86,'Market Share'!$AF138-1,0)</f>
        <v>0</v>
      </c>
      <c r="H138" s="54">
        <f ca="1">H41*OFFSET(Populacao!$I$86,'Market Share'!$AF138-1,0)</f>
        <v>0</v>
      </c>
      <c r="I138" s="54">
        <f t="shared" ref="I138:I147" ca="1" si="16">SUM(D138:H138)</f>
        <v>0</v>
      </c>
      <c r="J138" s="48"/>
      <c r="K138" s="56" t="s">
        <v>19</v>
      </c>
      <c r="L138" s="54">
        <f ca="1">L41*OFFSET(Populacao!$I$86,'Market Share'!$AF138-1,0)</f>
        <v>0</v>
      </c>
      <c r="M138" s="54">
        <f ca="1">M41*OFFSET(Populacao!$I$86,'Market Share'!$AF138-1,0)</f>
        <v>0</v>
      </c>
      <c r="N138" s="54">
        <f ca="1">N41*OFFSET(Populacao!$I$86,'Market Share'!$AF138-1,0)</f>
        <v>0</v>
      </c>
      <c r="O138" s="54">
        <f ca="1">O41*OFFSET(Populacao!$I$86,'Market Share'!$AF138-1,0)</f>
        <v>0</v>
      </c>
      <c r="P138" s="54">
        <f ca="1">P41*OFFSET(Populacao!$I$86,'Market Share'!$AF138-1,0)</f>
        <v>0</v>
      </c>
      <c r="Q138" s="54">
        <f t="shared" ref="Q138:Q147" ca="1" si="17">SUM(L138:P138)</f>
        <v>0</v>
      </c>
      <c r="R138" s="101"/>
      <c r="AF138" s="109">
        <v>2</v>
      </c>
      <c r="AG138" s="109" t="str">
        <f>(IF(OR(AF138&gt;controle_formulario!$I$16,$C$136&gt;controle_formulario!$E$16),"Ocultar",""))</f>
        <v>Ocultar</v>
      </c>
    </row>
    <row r="139" spans="1:33" hidden="1" x14ac:dyDescent="0.3">
      <c r="A139" s="6"/>
      <c r="B139" s="64"/>
      <c r="C139" s="56" t="s">
        <v>20</v>
      </c>
      <c r="D139" s="54">
        <f ca="1">D42*OFFSET(Populacao!$I$86,'Market Share'!$AF139-1,0)</f>
        <v>0</v>
      </c>
      <c r="E139" s="54">
        <f ca="1">E42*OFFSET(Populacao!$I$86,'Market Share'!$AF139-1,0)</f>
        <v>0</v>
      </c>
      <c r="F139" s="54">
        <f ca="1">F42*OFFSET(Populacao!$I$86,'Market Share'!$AF139-1,0)</f>
        <v>0</v>
      </c>
      <c r="G139" s="54">
        <f ca="1">G42*OFFSET(Populacao!$I$86,'Market Share'!$AF139-1,0)</f>
        <v>0</v>
      </c>
      <c r="H139" s="54">
        <f ca="1">H42*OFFSET(Populacao!$I$86,'Market Share'!$AF139-1,0)</f>
        <v>0</v>
      </c>
      <c r="I139" s="54">
        <f t="shared" ca="1" si="16"/>
        <v>0</v>
      </c>
      <c r="J139" s="48"/>
      <c r="K139" s="56" t="s">
        <v>20</v>
      </c>
      <c r="L139" s="54">
        <f ca="1">L42*OFFSET(Populacao!$I$86,'Market Share'!$AF139-1,0)</f>
        <v>0</v>
      </c>
      <c r="M139" s="54">
        <f ca="1">M42*OFFSET(Populacao!$I$86,'Market Share'!$AF139-1,0)</f>
        <v>0</v>
      </c>
      <c r="N139" s="54">
        <f ca="1">N42*OFFSET(Populacao!$I$86,'Market Share'!$AF139-1,0)</f>
        <v>0</v>
      </c>
      <c r="O139" s="54">
        <f ca="1">O42*OFFSET(Populacao!$I$86,'Market Share'!$AF139-1,0)</f>
        <v>0</v>
      </c>
      <c r="P139" s="54">
        <f ca="1">P42*OFFSET(Populacao!$I$86,'Market Share'!$AF139-1,0)</f>
        <v>0</v>
      </c>
      <c r="Q139" s="54">
        <f t="shared" ca="1" si="17"/>
        <v>0</v>
      </c>
      <c r="R139" s="101"/>
      <c r="AF139" s="109">
        <v>3</v>
      </c>
      <c r="AG139" s="109" t="str">
        <f>(IF(OR(AF139&gt;controle_formulario!$I$16,$C$136&gt;controle_formulario!$E$16),"Ocultar",""))</f>
        <v>Ocultar</v>
      </c>
    </row>
    <row r="140" spans="1:33" hidden="1" x14ac:dyDescent="0.3">
      <c r="A140" s="6"/>
      <c r="B140" s="64"/>
      <c r="C140" s="56" t="s">
        <v>21</v>
      </c>
      <c r="D140" s="54">
        <f ca="1">D43*OFFSET(Populacao!$I$86,'Market Share'!$AF140-1,0)</f>
        <v>0</v>
      </c>
      <c r="E140" s="54">
        <f ca="1">E43*OFFSET(Populacao!$I$86,'Market Share'!$AF140-1,0)</f>
        <v>0</v>
      </c>
      <c r="F140" s="54">
        <f ca="1">F43*OFFSET(Populacao!$I$86,'Market Share'!$AF140-1,0)</f>
        <v>0</v>
      </c>
      <c r="G140" s="54">
        <f ca="1">G43*OFFSET(Populacao!$I$86,'Market Share'!$AF140-1,0)</f>
        <v>0</v>
      </c>
      <c r="H140" s="54">
        <f ca="1">H43*OFFSET(Populacao!$I$86,'Market Share'!$AF140-1,0)</f>
        <v>0</v>
      </c>
      <c r="I140" s="54">
        <f t="shared" ca="1" si="16"/>
        <v>0</v>
      </c>
      <c r="J140" s="48"/>
      <c r="K140" s="56" t="s">
        <v>21</v>
      </c>
      <c r="L140" s="54">
        <f ca="1">L43*OFFSET(Populacao!$I$86,'Market Share'!$AF140-1,0)</f>
        <v>0</v>
      </c>
      <c r="M140" s="54">
        <f ca="1">M43*OFFSET(Populacao!$I$86,'Market Share'!$AF140-1,0)</f>
        <v>0</v>
      </c>
      <c r="N140" s="54">
        <f ca="1">N43*OFFSET(Populacao!$I$86,'Market Share'!$AF140-1,0)</f>
        <v>0</v>
      </c>
      <c r="O140" s="54">
        <f ca="1">O43*OFFSET(Populacao!$I$86,'Market Share'!$AF140-1,0)</f>
        <v>0</v>
      </c>
      <c r="P140" s="54">
        <f ca="1">P43*OFFSET(Populacao!$I$86,'Market Share'!$AF140-1,0)</f>
        <v>0</v>
      </c>
      <c r="Q140" s="54">
        <f t="shared" ca="1" si="17"/>
        <v>0</v>
      </c>
      <c r="R140" s="101"/>
      <c r="AF140" s="109">
        <v>4</v>
      </c>
      <c r="AG140" s="109" t="str">
        <f>(IF(OR(AF140&gt;controle_formulario!$I$16,$C$136&gt;controle_formulario!$E$16),"Ocultar",""))</f>
        <v>Ocultar</v>
      </c>
    </row>
    <row r="141" spans="1:33" hidden="1" x14ac:dyDescent="0.3">
      <c r="A141" s="6"/>
      <c r="B141" s="64"/>
      <c r="C141" s="56" t="s">
        <v>22</v>
      </c>
      <c r="D141" s="54">
        <f ca="1">D44*OFFSET(Populacao!$I$86,'Market Share'!$AF141-1,0)</f>
        <v>0</v>
      </c>
      <c r="E141" s="54">
        <f ca="1">E44*OFFSET(Populacao!$I$86,'Market Share'!$AF141-1,0)</f>
        <v>0</v>
      </c>
      <c r="F141" s="54">
        <f ca="1">F44*OFFSET(Populacao!$I$86,'Market Share'!$AF141-1,0)</f>
        <v>0</v>
      </c>
      <c r="G141" s="54">
        <f ca="1">G44*OFFSET(Populacao!$I$86,'Market Share'!$AF141-1,0)</f>
        <v>0</v>
      </c>
      <c r="H141" s="54">
        <f ca="1">H44*OFFSET(Populacao!$I$86,'Market Share'!$AF141-1,0)</f>
        <v>0</v>
      </c>
      <c r="I141" s="54">
        <f t="shared" ca="1" si="16"/>
        <v>0</v>
      </c>
      <c r="J141" s="48"/>
      <c r="K141" s="56" t="s">
        <v>22</v>
      </c>
      <c r="L141" s="54">
        <f ca="1">L44*OFFSET(Populacao!$I$86,'Market Share'!$AF141-1,0)</f>
        <v>0</v>
      </c>
      <c r="M141" s="54">
        <f ca="1">M44*OFFSET(Populacao!$I$86,'Market Share'!$AF141-1,0)</f>
        <v>0</v>
      </c>
      <c r="N141" s="54">
        <f ca="1">N44*OFFSET(Populacao!$I$86,'Market Share'!$AF141-1,0)</f>
        <v>0</v>
      </c>
      <c r="O141" s="54">
        <f ca="1">O44*OFFSET(Populacao!$I$86,'Market Share'!$AF141-1,0)</f>
        <v>0</v>
      </c>
      <c r="P141" s="54">
        <f ca="1">P44*OFFSET(Populacao!$I$86,'Market Share'!$AF141-1,0)</f>
        <v>0</v>
      </c>
      <c r="Q141" s="54">
        <f t="shared" ca="1" si="17"/>
        <v>0</v>
      </c>
      <c r="R141" s="101"/>
      <c r="AF141" s="109">
        <v>5</v>
      </c>
      <c r="AG141" s="109" t="str">
        <f>(IF(OR(AF141&gt;controle_formulario!$I$16,$C$136&gt;controle_formulario!$E$16),"Ocultar",""))</f>
        <v>Ocultar</v>
      </c>
    </row>
    <row r="142" spans="1:33" hidden="1" x14ac:dyDescent="0.3">
      <c r="A142" s="6"/>
      <c r="B142" s="64"/>
      <c r="C142" s="56" t="s">
        <v>23</v>
      </c>
      <c r="D142" s="54">
        <f ca="1">D45*OFFSET(Populacao!$I$86,'Market Share'!$AF142-1,0)</f>
        <v>0</v>
      </c>
      <c r="E142" s="54">
        <f ca="1">E45*OFFSET(Populacao!$I$86,'Market Share'!$AF142-1,0)</f>
        <v>0</v>
      </c>
      <c r="F142" s="54">
        <f ca="1">F45*OFFSET(Populacao!$I$86,'Market Share'!$AF142-1,0)</f>
        <v>0</v>
      </c>
      <c r="G142" s="54">
        <f ca="1">G45*OFFSET(Populacao!$I$86,'Market Share'!$AF142-1,0)</f>
        <v>0</v>
      </c>
      <c r="H142" s="54">
        <f ca="1">H45*OFFSET(Populacao!$I$86,'Market Share'!$AF142-1,0)</f>
        <v>0</v>
      </c>
      <c r="I142" s="54">
        <f t="shared" ca="1" si="16"/>
        <v>0</v>
      </c>
      <c r="J142" s="48"/>
      <c r="K142" s="56" t="s">
        <v>23</v>
      </c>
      <c r="L142" s="54">
        <f ca="1">L45*OFFSET(Populacao!$I$86,'Market Share'!$AF142-1,0)</f>
        <v>0</v>
      </c>
      <c r="M142" s="54">
        <f ca="1">M45*OFFSET(Populacao!$I$86,'Market Share'!$AF142-1,0)</f>
        <v>0</v>
      </c>
      <c r="N142" s="54">
        <f ca="1">N45*OFFSET(Populacao!$I$86,'Market Share'!$AF142-1,0)</f>
        <v>0</v>
      </c>
      <c r="O142" s="54">
        <f ca="1">O45*OFFSET(Populacao!$I$86,'Market Share'!$AF142-1,0)</f>
        <v>0</v>
      </c>
      <c r="P142" s="54">
        <f ca="1">P45*OFFSET(Populacao!$I$86,'Market Share'!$AF142-1,0)</f>
        <v>0</v>
      </c>
      <c r="Q142" s="54">
        <f t="shared" ca="1" si="17"/>
        <v>0</v>
      </c>
      <c r="R142" s="101"/>
      <c r="AF142" s="109">
        <v>6</v>
      </c>
      <c r="AG142" s="109" t="str">
        <f>(IF(OR(AF142&gt;controle_formulario!$I$16,$C$136&gt;controle_formulario!$E$16),"Ocultar",""))</f>
        <v>Ocultar</v>
      </c>
    </row>
    <row r="143" spans="1:33" hidden="1" x14ac:dyDescent="0.3">
      <c r="A143" s="6"/>
      <c r="B143" s="64"/>
      <c r="C143" s="56" t="s">
        <v>24</v>
      </c>
      <c r="D143" s="54">
        <f ca="1">D46*OFFSET(Populacao!$I$86,'Market Share'!$AF143-1,0)</f>
        <v>0</v>
      </c>
      <c r="E143" s="54">
        <f ca="1">E46*OFFSET(Populacao!$I$86,'Market Share'!$AF143-1,0)</f>
        <v>0</v>
      </c>
      <c r="F143" s="54">
        <f ca="1">F46*OFFSET(Populacao!$I$86,'Market Share'!$AF143-1,0)</f>
        <v>0</v>
      </c>
      <c r="G143" s="54">
        <f ca="1">G46*OFFSET(Populacao!$I$86,'Market Share'!$AF143-1,0)</f>
        <v>0</v>
      </c>
      <c r="H143" s="54">
        <f ca="1">H46*OFFSET(Populacao!$I$86,'Market Share'!$AF143-1,0)</f>
        <v>0</v>
      </c>
      <c r="I143" s="54">
        <f t="shared" ca="1" si="16"/>
        <v>0</v>
      </c>
      <c r="J143" s="48"/>
      <c r="K143" s="56" t="s">
        <v>24</v>
      </c>
      <c r="L143" s="54">
        <f ca="1">L46*OFFSET(Populacao!$I$86,'Market Share'!$AF143-1,0)</f>
        <v>0</v>
      </c>
      <c r="M143" s="54">
        <f ca="1">M46*OFFSET(Populacao!$I$86,'Market Share'!$AF143-1,0)</f>
        <v>0</v>
      </c>
      <c r="N143" s="54">
        <f ca="1">N46*OFFSET(Populacao!$I$86,'Market Share'!$AF143-1,0)</f>
        <v>0</v>
      </c>
      <c r="O143" s="54">
        <f ca="1">O46*OFFSET(Populacao!$I$86,'Market Share'!$AF143-1,0)</f>
        <v>0</v>
      </c>
      <c r="P143" s="54">
        <f ca="1">P46*OFFSET(Populacao!$I$86,'Market Share'!$AF143-1,0)</f>
        <v>0</v>
      </c>
      <c r="Q143" s="54">
        <f t="shared" ca="1" si="17"/>
        <v>0</v>
      </c>
      <c r="R143" s="101"/>
      <c r="AF143" s="109">
        <v>7</v>
      </c>
      <c r="AG143" s="109" t="str">
        <f>(IF(OR(AF143&gt;controle_formulario!$I$16,$C$136&gt;controle_formulario!$E$16),"Ocultar",""))</f>
        <v>Ocultar</v>
      </c>
    </row>
    <row r="144" spans="1:33" hidden="1" x14ac:dyDescent="0.3">
      <c r="A144" s="6"/>
      <c r="B144" s="64"/>
      <c r="C144" s="56" t="s">
        <v>25</v>
      </c>
      <c r="D144" s="54">
        <f ca="1">D47*OFFSET(Populacao!$I$86,'Market Share'!$AF144-1,0)</f>
        <v>0</v>
      </c>
      <c r="E144" s="54">
        <f ca="1">E47*OFFSET(Populacao!$I$86,'Market Share'!$AF144-1,0)</f>
        <v>0</v>
      </c>
      <c r="F144" s="54">
        <f ca="1">F47*OFFSET(Populacao!$I$86,'Market Share'!$AF144-1,0)</f>
        <v>0</v>
      </c>
      <c r="G144" s="54">
        <f ca="1">G47*OFFSET(Populacao!$I$86,'Market Share'!$AF144-1,0)</f>
        <v>0</v>
      </c>
      <c r="H144" s="54">
        <f ca="1">H47*OFFSET(Populacao!$I$86,'Market Share'!$AF144-1,0)</f>
        <v>0</v>
      </c>
      <c r="I144" s="54">
        <f t="shared" ca="1" si="16"/>
        <v>0</v>
      </c>
      <c r="J144" s="48"/>
      <c r="K144" s="56" t="s">
        <v>25</v>
      </c>
      <c r="L144" s="54">
        <f ca="1">L47*OFFSET(Populacao!$I$86,'Market Share'!$AF144-1,0)</f>
        <v>0</v>
      </c>
      <c r="M144" s="54">
        <f ca="1">M47*OFFSET(Populacao!$I$86,'Market Share'!$AF144-1,0)</f>
        <v>0</v>
      </c>
      <c r="N144" s="54">
        <f ca="1">N47*OFFSET(Populacao!$I$86,'Market Share'!$AF144-1,0)</f>
        <v>0</v>
      </c>
      <c r="O144" s="54">
        <f ca="1">O47*OFFSET(Populacao!$I$86,'Market Share'!$AF144-1,0)</f>
        <v>0</v>
      </c>
      <c r="P144" s="54">
        <f ca="1">P47*OFFSET(Populacao!$I$86,'Market Share'!$AF144-1,0)</f>
        <v>0</v>
      </c>
      <c r="Q144" s="54">
        <f t="shared" ca="1" si="17"/>
        <v>0</v>
      </c>
      <c r="R144" s="101"/>
      <c r="AF144" s="109">
        <v>8</v>
      </c>
      <c r="AG144" s="109" t="str">
        <f>(IF(OR(AF144&gt;controle_formulario!$I$16,$C$136&gt;controle_formulario!$E$16),"Ocultar",""))</f>
        <v>Ocultar</v>
      </c>
    </row>
    <row r="145" spans="1:33" hidden="1" x14ac:dyDescent="0.3">
      <c r="A145" s="6"/>
      <c r="B145" s="64"/>
      <c r="C145" s="56" t="s">
        <v>26</v>
      </c>
      <c r="D145" s="54">
        <f ca="1">D48*OFFSET(Populacao!$I$86,'Market Share'!$AF145-1,0)</f>
        <v>0</v>
      </c>
      <c r="E145" s="54">
        <f ca="1">E48*OFFSET(Populacao!$I$86,'Market Share'!$AF145-1,0)</f>
        <v>0</v>
      </c>
      <c r="F145" s="54">
        <f ca="1">F48*OFFSET(Populacao!$I$86,'Market Share'!$AF145-1,0)</f>
        <v>0</v>
      </c>
      <c r="G145" s="54">
        <f ca="1">G48*OFFSET(Populacao!$I$86,'Market Share'!$AF145-1,0)</f>
        <v>0</v>
      </c>
      <c r="H145" s="54">
        <f ca="1">H48*OFFSET(Populacao!$I$86,'Market Share'!$AF145-1,0)</f>
        <v>0</v>
      </c>
      <c r="I145" s="54">
        <f t="shared" ca="1" si="16"/>
        <v>0</v>
      </c>
      <c r="J145" s="48"/>
      <c r="K145" s="56" t="s">
        <v>26</v>
      </c>
      <c r="L145" s="54">
        <f ca="1">L48*OFFSET(Populacao!$I$86,'Market Share'!$AF145-1,0)</f>
        <v>0</v>
      </c>
      <c r="M145" s="54">
        <f ca="1">M48*OFFSET(Populacao!$I$86,'Market Share'!$AF145-1,0)</f>
        <v>0</v>
      </c>
      <c r="N145" s="54">
        <f ca="1">N48*OFFSET(Populacao!$I$86,'Market Share'!$AF145-1,0)</f>
        <v>0</v>
      </c>
      <c r="O145" s="54">
        <f ca="1">O48*OFFSET(Populacao!$I$86,'Market Share'!$AF145-1,0)</f>
        <v>0</v>
      </c>
      <c r="P145" s="54">
        <f ca="1">P48*OFFSET(Populacao!$I$86,'Market Share'!$AF145-1,0)</f>
        <v>0</v>
      </c>
      <c r="Q145" s="54">
        <f t="shared" ca="1" si="17"/>
        <v>0</v>
      </c>
      <c r="R145" s="101"/>
      <c r="AF145" s="109">
        <v>9</v>
      </c>
      <c r="AG145" s="109" t="str">
        <f>(IF(OR(AF145&gt;controle_formulario!$I$16,$C$136&gt;controle_formulario!$E$16),"Ocultar",""))</f>
        <v>Ocultar</v>
      </c>
    </row>
    <row r="146" spans="1:33" hidden="1" x14ac:dyDescent="0.3">
      <c r="A146" s="6"/>
      <c r="B146" s="64"/>
      <c r="C146" s="56" t="s">
        <v>27</v>
      </c>
      <c r="D146" s="54">
        <f ca="1">D49*OFFSET(Populacao!$I$86,'Market Share'!$AF146-1,0)</f>
        <v>0</v>
      </c>
      <c r="E146" s="54">
        <f ca="1">E49*OFFSET(Populacao!$I$86,'Market Share'!$AF146-1,0)</f>
        <v>0</v>
      </c>
      <c r="F146" s="54">
        <f ca="1">F49*OFFSET(Populacao!$I$86,'Market Share'!$AF146-1,0)</f>
        <v>0</v>
      </c>
      <c r="G146" s="54">
        <f ca="1">G49*OFFSET(Populacao!$I$86,'Market Share'!$AF146-1,0)</f>
        <v>0</v>
      </c>
      <c r="H146" s="54">
        <f ca="1">H49*OFFSET(Populacao!$I$86,'Market Share'!$AF146-1,0)</f>
        <v>0</v>
      </c>
      <c r="I146" s="54">
        <f t="shared" ca="1" si="16"/>
        <v>0</v>
      </c>
      <c r="J146" s="48"/>
      <c r="K146" s="56" t="s">
        <v>27</v>
      </c>
      <c r="L146" s="54">
        <f ca="1">L49*OFFSET(Populacao!$I$86,'Market Share'!$AF146-1,0)</f>
        <v>0</v>
      </c>
      <c r="M146" s="54">
        <f ca="1">M49*OFFSET(Populacao!$I$86,'Market Share'!$AF146-1,0)</f>
        <v>0</v>
      </c>
      <c r="N146" s="54">
        <f ca="1">N49*OFFSET(Populacao!$I$86,'Market Share'!$AF146-1,0)</f>
        <v>0</v>
      </c>
      <c r="O146" s="54">
        <f ca="1">O49*OFFSET(Populacao!$I$86,'Market Share'!$AF146-1,0)</f>
        <v>0</v>
      </c>
      <c r="P146" s="54">
        <f ca="1">P49*OFFSET(Populacao!$I$86,'Market Share'!$AF146-1,0)</f>
        <v>0</v>
      </c>
      <c r="Q146" s="75">
        <f t="shared" ca="1" si="17"/>
        <v>0</v>
      </c>
      <c r="R146" s="101"/>
      <c r="AF146" s="109">
        <v>10</v>
      </c>
      <c r="AG146" s="109" t="str">
        <f>(IF(OR(AF146&gt;controle_formulario!$I$16,$C$136&gt;controle_formulario!$E$16),"Ocultar",""))</f>
        <v>Ocultar</v>
      </c>
    </row>
    <row r="147" spans="1:33" hidden="1" x14ac:dyDescent="0.3">
      <c r="A147" s="6"/>
      <c r="B147" s="64"/>
      <c r="C147" s="56" t="s">
        <v>29</v>
      </c>
      <c r="D147" s="77">
        <f ca="1">SUM(D137:D146)</f>
        <v>0</v>
      </c>
      <c r="E147" s="77">
        <f ca="1">SUM(E137:E146)</f>
        <v>0</v>
      </c>
      <c r="F147" s="77">
        <f ca="1">SUM(F137:F146)</f>
        <v>0</v>
      </c>
      <c r="G147" s="77">
        <f ca="1">SUM(G137:G146)</f>
        <v>0</v>
      </c>
      <c r="H147" s="77">
        <f ca="1">SUM(H137:H146)</f>
        <v>0</v>
      </c>
      <c r="I147" s="77">
        <f t="shared" ca="1" si="16"/>
        <v>0</v>
      </c>
      <c r="J147" s="48"/>
      <c r="K147" s="56" t="s">
        <v>29</v>
      </c>
      <c r="L147" s="77">
        <f ca="1">SUM(L137:L146)</f>
        <v>0</v>
      </c>
      <c r="M147" s="77">
        <f ca="1">SUM(M137:M146)</f>
        <v>0</v>
      </c>
      <c r="N147" s="77">
        <f ca="1">SUM(N137:N146)</f>
        <v>0</v>
      </c>
      <c r="O147" s="77">
        <f ca="1">SUM(O137:O146)</f>
        <v>0</v>
      </c>
      <c r="P147" s="77">
        <f ca="1">SUM(P137:P146)</f>
        <v>0</v>
      </c>
      <c r="Q147" s="77">
        <f t="shared" ca="1" si="17"/>
        <v>0</v>
      </c>
      <c r="R147" s="101"/>
      <c r="AG147" s="109" t="str">
        <f>IF($C$136&gt;controle_formulario!$E$16,"Ocultar","")</f>
        <v>Ocultar</v>
      </c>
    </row>
    <row r="148" spans="1:33" x14ac:dyDescent="0.3">
      <c r="A148" s="6"/>
      <c r="B148" s="64"/>
      <c r="D148" s="85"/>
      <c r="E148" s="85"/>
      <c r="F148" s="85"/>
      <c r="G148" s="85"/>
      <c r="H148" s="85"/>
      <c r="I148" s="85"/>
      <c r="J148" s="48"/>
      <c r="L148" s="85"/>
      <c r="M148" s="85"/>
      <c r="N148" s="85"/>
      <c r="O148" s="85"/>
      <c r="P148" s="85"/>
      <c r="Q148" s="85"/>
      <c r="R148" s="101"/>
    </row>
    <row r="149" spans="1:33" x14ac:dyDescent="0.3">
      <c r="A149" s="6"/>
      <c r="B149" s="64"/>
      <c r="R149" s="66"/>
    </row>
    <row r="150" spans="1:33" x14ac:dyDescent="0.3">
      <c r="A150" s="6"/>
      <c r="R150" s="66"/>
    </row>
    <row r="151" spans="1:33" hidden="1" x14ac:dyDescent="0.3">
      <c r="A151" s="6"/>
      <c r="B151" s="64"/>
      <c r="C151" s="73" t="str">
        <f>cen.alt6</f>
        <v>Taxa de difusão em X anos: XX%</v>
      </c>
      <c r="D151" s="74"/>
      <c r="E151" s="74"/>
      <c r="F151" s="59"/>
      <c r="G151" s="59"/>
      <c r="H151" s="59"/>
      <c r="I151" s="59"/>
      <c r="J151" s="48"/>
      <c r="K151" s="73" t="str">
        <f>cen.alt7</f>
        <v>Taxa de difusão em X anos: XX%</v>
      </c>
      <c r="L151" s="73"/>
      <c r="M151" s="73"/>
      <c r="N151" s="73"/>
      <c r="O151" s="73"/>
      <c r="P151" s="73"/>
      <c r="Q151" s="73"/>
      <c r="R151" s="101"/>
      <c r="AG151" s="109" t="str">
        <f>IF($C$152&gt;controle_formulario!$E$16,"Ocultar","")</f>
        <v>Ocultar</v>
      </c>
    </row>
    <row r="152" spans="1:33" hidden="1" x14ac:dyDescent="0.3">
      <c r="A152" s="6"/>
      <c r="B152" s="64"/>
      <c r="C152" s="111">
        <v>6</v>
      </c>
      <c r="D152" s="57" t="str">
        <f>trat.novo</f>
        <v>Pirtobrutinibe</v>
      </c>
      <c r="E152" s="57" t="str">
        <f>trat.a</f>
        <v xml:space="preserve"> Conjunto de Tratamentos-Padrão</v>
      </c>
      <c r="F152" s="57">
        <f>trat.b</f>
        <v>0</v>
      </c>
      <c r="G152" s="57">
        <f>trat.c</f>
        <v>0</v>
      </c>
      <c r="H152" s="57">
        <f>trat.d</f>
        <v>0</v>
      </c>
      <c r="I152" s="57" t="s">
        <v>29</v>
      </c>
      <c r="J152" s="48"/>
      <c r="K152" s="111">
        <v>7</v>
      </c>
      <c r="L152" s="57" t="str">
        <f>trat.novo</f>
        <v>Pirtobrutinibe</v>
      </c>
      <c r="M152" s="57" t="str">
        <f>trat.a</f>
        <v xml:space="preserve"> Conjunto de Tratamentos-Padrão</v>
      </c>
      <c r="N152" s="57">
        <f>trat.b</f>
        <v>0</v>
      </c>
      <c r="O152" s="57">
        <f>trat.c</f>
        <v>0</v>
      </c>
      <c r="P152" s="57">
        <f>trat.d</f>
        <v>0</v>
      </c>
      <c r="Q152" s="57" t="s">
        <v>29</v>
      </c>
      <c r="R152" s="101"/>
      <c r="AG152" s="109" t="str">
        <f>IF($C$152&gt;controle_formulario!$E$16,"Ocultar","")</f>
        <v>Ocultar</v>
      </c>
    </row>
    <row r="153" spans="1:33" hidden="1" x14ac:dyDescent="0.3">
      <c r="A153" s="6"/>
      <c r="B153" s="64"/>
      <c r="C153" s="56" t="s">
        <v>18</v>
      </c>
      <c r="D153" s="54">
        <f ca="1">D56*OFFSET(Populacao!$I$86,'Market Share'!$AF153-1,0)</f>
        <v>0</v>
      </c>
      <c r="E153" s="54">
        <f ca="1">E56*OFFSET(Populacao!$I$86,'Market Share'!$AF153-1,0)</f>
        <v>0</v>
      </c>
      <c r="F153" s="54">
        <f ca="1">F56*OFFSET(Populacao!$I$86,'Market Share'!$AF153-1,0)</f>
        <v>0</v>
      </c>
      <c r="G153" s="54">
        <f ca="1">G56*OFFSET(Populacao!$I$86,'Market Share'!$AF153-1,0)</f>
        <v>0</v>
      </c>
      <c r="H153" s="54">
        <f ca="1">H56*OFFSET(Populacao!$I$86,'Market Share'!$AF153-1,0)</f>
        <v>0</v>
      </c>
      <c r="I153" s="54">
        <f ca="1">SUM(D153:H153)</f>
        <v>0</v>
      </c>
      <c r="J153" s="48"/>
      <c r="K153" s="56" t="s">
        <v>18</v>
      </c>
      <c r="L153" s="54">
        <f ca="1">L56*OFFSET(Populacao!$I$86,'Market Share'!$AF153-1,0)</f>
        <v>0</v>
      </c>
      <c r="M153" s="54">
        <f ca="1">M56*OFFSET(Populacao!$I$86,'Market Share'!$AF153-1,0)</f>
        <v>0</v>
      </c>
      <c r="N153" s="54">
        <f ca="1">N56*OFFSET(Populacao!$I$86,'Market Share'!$AF153-1,0)</f>
        <v>0</v>
      </c>
      <c r="O153" s="54">
        <f ca="1">O56*OFFSET(Populacao!$I$86,'Market Share'!$AF153-1,0)</f>
        <v>0</v>
      </c>
      <c r="P153" s="54">
        <f ca="1">P56*OFFSET(Populacao!$I$86,'Market Share'!$AF153-1,0)</f>
        <v>0</v>
      </c>
      <c r="Q153" s="54">
        <f ca="1">SUM(L153:P153)</f>
        <v>0</v>
      </c>
      <c r="R153" s="101"/>
      <c r="AF153" s="110">
        <v>1</v>
      </c>
      <c r="AG153" s="109" t="str">
        <f>IF($C$152&gt;controle_formulario!$E$16,"Ocultar","")</f>
        <v>Ocultar</v>
      </c>
    </row>
    <row r="154" spans="1:33" hidden="1" x14ac:dyDescent="0.3">
      <c r="A154" s="6"/>
      <c r="B154" s="64"/>
      <c r="C154" s="56" t="s">
        <v>19</v>
      </c>
      <c r="D154" s="54">
        <f ca="1">D57*OFFSET(Populacao!$I$86,'Market Share'!$AF154-1,0)</f>
        <v>0</v>
      </c>
      <c r="E154" s="54">
        <f ca="1">E57*OFFSET(Populacao!$I$86,'Market Share'!$AF154-1,0)</f>
        <v>0</v>
      </c>
      <c r="F154" s="54">
        <f ca="1">F57*OFFSET(Populacao!$I$86,'Market Share'!$AF154-1,0)</f>
        <v>0</v>
      </c>
      <c r="G154" s="54">
        <f ca="1">G57*OFFSET(Populacao!$I$86,'Market Share'!$AF154-1,0)</f>
        <v>0</v>
      </c>
      <c r="H154" s="54">
        <f ca="1">H57*OFFSET(Populacao!$I$86,'Market Share'!$AF154-1,0)</f>
        <v>0</v>
      </c>
      <c r="I154" s="54">
        <f t="shared" ref="I154:I163" ca="1" si="18">SUM(D154:H154)</f>
        <v>0</v>
      </c>
      <c r="J154" s="48"/>
      <c r="K154" s="56" t="s">
        <v>19</v>
      </c>
      <c r="L154" s="54">
        <f ca="1">L57*OFFSET(Populacao!$I$86,'Market Share'!$AF154-1,0)</f>
        <v>0</v>
      </c>
      <c r="M154" s="54">
        <f ca="1">M57*OFFSET(Populacao!$I$86,'Market Share'!$AF154-1,0)</f>
        <v>0</v>
      </c>
      <c r="N154" s="54">
        <f ca="1">N57*OFFSET(Populacao!$I$86,'Market Share'!$AF154-1,0)</f>
        <v>0</v>
      </c>
      <c r="O154" s="54">
        <f ca="1">O57*OFFSET(Populacao!$I$86,'Market Share'!$AF154-1,0)</f>
        <v>0</v>
      </c>
      <c r="P154" s="54">
        <f ca="1">P57*OFFSET(Populacao!$I$86,'Market Share'!$AF154-1,0)</f>
        <v>0</v>
      </c>
      <c r="Q154" s="54">
        <f t="shared" ref="Q154:Q163" ca="1" si="19">SUM(L154:P154)</f>
        <v>0</v>
      </c>
      <c r="R154" s="101"/>
      <c r="AF154" s="109">
        <v>2</v>
      </c>
      <c r="AG154" s="109" t="str">
        <f>(IF(OR(AF154&gt;controle_formulario!$I$16,$C$152&gt;controle_formulario!$E$16),"Ocultar",""))</f>
        <v>Ocultar</v>
      </c>
    </row>
    <row r="155" spans="1:33" hidden="1" x14ac:dyDescent="0.3">
      <c r="A155" s="6"/>
      <c r="B155" s="64"/>
      <c r="C155" s="56" t="s">
        <v>20</v>
      </c>
      <c r="D155" s="54">
        <f ca="1">D58*OFFSET(Populacao!$I$86,'Market Share'!$AF155-1,0)</f>
        <v>0</v>
      </c>
      <c r="E155" s="54">
        <f ca="1">E58*OFFSET(Populacao!$I$86,'Market Share'!$AF155-1,0)</f>
        <v>0</v>
      </c>
      <c r="F155" s="54">
        <f ca="1">F58*OFFSET(Populacao!$I$86,'Market Share'!$AF155-1,0)</f>
        <v>0</v>
      </c>
      <c r="G155" s="54">
        <f ca="1">G58*OFFSET(Populacao!$I$86,'Market Share'!$AF155-1,0)</f>
        <v>0</v>
      </c>
      <c r="H155" s="54">
        <f ca="1">H58*OFFSET(Populacao!$I$86,'Market Share'!$AF155-1,0)</f>
        <v>0</v>
      </c>
      <c r="I155" s="54">
        <f t="shared" ca="1" si="18"/>
        <v>0</v>
      </c>
      <c r="J155" s="48"/>
      <c r="K155" s="56" t="s">
        <v>20</v>
      </c>
      <c r="L155" s="54">
        <f ca="1">L58*OFFSET(Populacao!$I$86,'Market Share'!$AF155-1,0)</f>
        <v>0</v>
      </c>
      <c r="M155" s="54">
        <f ca="1">M58*OFFSET(Populacao!$I$86,'Market Share'!$AF155-1,0)</f>
        <v>0</v>
      </c>
      <c r="N155" s="54">
        <f ca="1">N58*OFFSET(Populacao!$I$86,'Market Share'!$AF155-1,0)</f>
        <v>0</v>
      </c>
      <c r="O155" s="54">
        <f ca="1">O58*OFFSET(Populacao!$I$86,'Market Share'!$AF155-1,0)</f>
        <v>0</v>
      </c>
      <c r="P155" s="54">
        <f ca="1">P58*OFFSET(Populacao!$I$86,'Market Share'!$AF155-1,0)</f>
        <v>0</v>
      </c>
      <c r="Q155" s="54">
        <f t="shared" ca="1" si="19"/>
        <v>0</v>
      </c>
      <c r="R155" s="101"/>
      <c r="AF155" s="109">
        <v>3</v>
      </c>
      <c r="AG155" s="109" t="str">
        <f>(IF(OR(AF155&gt;controle_formulario!$I$16,$C$152&gt;controle_formulario!$E$16),"Ocultar",""))</f>
        <v>Ocultar</v>
      </c>
    </row>
    <row r="156" spans="1:33" hidden="1" x14ac:dyDescent="0.3">
      <c r="A156" s="6"/>
      <c r="B156" s="64"/>
      <c r="C156" s="56" t="s">
        <v>21</v>
      </c>
      <c r="D156" s="54">
        <f ca="1">D59*OFFSET(Populacao!$I$86,'Market Share'!$AF156-1,0)</f>
        <v>0</v>
      </c>
      <c r="E156" s="54">
        <f ca="1">E59*OFFSET(Populacao!$I$86,'Market Share'!$AF156-1,0)</f>
        <v>0</v>
      </c>
      <c r="F156" s="54">
        <f ca="1">F59*OFFSET(Populacao!$I$86,'Market Share'!$AF156-1,0)</f>
        <v>0</v>
      </c>
      <c r="G156" s="54">
        <f ca="1">G59*OFFSET(Populacao!$I$86,'Market Share'!$AF156-1,0)</f>
        <v>0</v>
      </c>
      <c r="H156" s="54">
        <f ca="1">H59*OFFSET(Populacao!$I$86,'Market Share'!$AF156-1,0)</f>
        <v>0</v>
      </c>
      <c r="I156" s="54">
        <f t="shared" ca="1" si="18"/>
        <v>0</v>
      </c>
      <c r="J156" s="48"/>
      <c r="K156" s="56" t="s">
        <v>21</v>
      </c>
      <c r="L156" s="54">
        <f ca="1">L59*OFFSET(Populacao!$I$86,'Market Share'!$AF156-1,0)</f>
        <v>0</v>
      </c>
      <c r="M156" s="54">
        <f ca="1">M59*OFFSET(Populacao!$I$86,'Market Share'!$AF156-1,0)</f>
        <v>0</v>
      </c>
      <c r="N156" s="54">
        <f ca="1">N59*OFFSET(Populacao!$I$86,'Market Share'!$AF156-1,0)</f>
        <v>0</v>
      </c>
      <c r="O156" s="54">
        <f ca="1">O59*OFFSET(Populacao!$I$86,'Market Share'!$AF156-1,0)</f>
        <v>0</v>
      </c>
      <c r="P156" s="54">
        <f ca="1">P59*OFFSET(Populacao!$I$86,'Market Share'!$AF156-1,0)</f>
        <v>0</v>
      </c>
      <c r="Q156" s="54">
        <f t="shared" ca="1" si="19"/>
        <v>0</v>
      </c>
      <c r="R156" s="101"/>
      <c r="AF156" s="109">
        <v>4</v>
      </c>
      <c r="AG156" s="109" t="str">
        <f>(IF(OR(AF156&gt;controle_formulario!$I$16,$C$152&gt;controle_formulario!$E$16),"Ocultar",""))</f>
        <v>Ocultar</v>
      </c>
    </row>
    <row r="157" spans="1:33" hidden="1" x14ac:dyDescent="0.3">
      <c r="A157" s="6"/>
      <c r="B157" s="64"/>
      <c r="C157" s="56" t="s">
        <v>22</v>
      </c>
      <c r="D157" s="54">
        <f ca="1">D60*OFFSET(Populacao!$I$86,'Market Share'!$AF157-1,0)</f>
        <v>0</v>
      </c>
      <c r="E157" s="54">
        <f ca="1">E60*OFFSET(Populacao!$I$86,'Market Share'!$AF157-1,0)</f>
        <v>0</v>
      </c>
      <c r="F157" s="54">
        <f ca="1">F60*OFFSET(Populacao!$I$86,'Market Share'!$AF157-1,0)</f>
        <v>0</v>
      </c>
      <c r="G157" s="54">
        <f ca="1">G60*OFFSET(Populacao!$I$86,'Market Share'!$AF157-1,0)</f>
        <v>0</v>
      </c>
      <c r="H157" s="54">
        <f ca="1">H60*OFFSET(Populacao!$I$86,'Market Share'!$AF157-1,0)</f>
        <v>0</v>
      </c>
      <c r="I157" s="54">
        <f t="shared" ca="1" si="18"/>
        <v>0</v>
      </c>
      <c r="J157" s="48"/>
      <c r="K157" s="56" t="s">
        <v>22</v>
      </c>
      <c r="L157" s="54">
        <f ca="1">L60*OFFSET(Populacao!$I$86,'Market Share'!$AF157-1,0)</f>
        <v>0</v>
      </c>
      <c r="M157" s="54">
        <f ca="1">M60*OFFSET(Populacao!$I$86,'Market Share'!$AF157-1,0)</f>
        <v>0</v>
      </c>
      <c r="N157" s="54">
        <f ca="1">N60*OFFSET(Populacao!$I$86,'Market Share'!$AF157-1,0)</f>
        <v>0</v>
      </c>
      <c r="O157" s="54">
        <f ca="1">O60*OFFSET(Populacao!$I$86,'Market Share'!$AF157-1,0)</f>
        <v>0</v>
      </c>
      <c r="P157" s="54">
        <f ca="1">P60*OFFSET(Populacao!$I$86,'Market Share'!$AF157-1,0)</f>
        <v>0</v>
      </c>
      <c r="Q157" s="54">
        <f t="shared" ca="1" si="19"/>
        <v>0</v>
      </c>
      <c r="R157" s="101"/>
      <c r="AF157" s="109">
        <v>5</v>
      </c>
      <c r="AG157" s="109" t="str">
        <f>(IF(OR(AF157&gt;controle_formulario!$I$16,$C$152&gt;controle_formulario!$E$16),"Ocultar",""))</f>
        <v>Ocultar</v>
      </c>
    </row>
    <row r="158" spans="1:33" hidden="1" x14ac:dyDescent="0.3">
      <c r="A158" s="6"/>
      <c r="B158" s="64"/>
      <c r="C158" s="56" t="s">
        <v>23</v>
      </c>
      <c r="D158" s="54">
        <f ca="1">D61*OFFSET(Populacao!$I$86,'Market Share'!$AF158-1,0)</f>
        <v>0</v>
      </c>
      <c r="E158" s="54">
        <f ca="1">E61*OFFSET(Populacao!$I$86,'Market Share'!$AF158-1,0)</f>
        <v>0</v>
      </c>
      <c r="F158" s="54">
        <f ca="1">F61*OFFSET(Populacao!$I$86,'Market Share'!$AF158-1,0)</f>
        <v>0</v>
      </c>
      <c r="G158" s="54">
        <f ca="1">G61*OFFSET(Populacao!$I$86,'Market Share'!$AF158-1,0)</f>
        <v>0</v>
      </c>
      <c r="H158" s="54">
        <f ca="1">H61*OFFSET(Populacao!$I$86,'Market Share'!$AF158-1,0)</f>
        <v>0</v>
      </c>
      <c r="I158" s="54">
        <f t="shared" ca="1" si="18"/>
        <v>0</v>
      </c>
      <c r="J158" s="48"/>
      <c r="K158" s="56" t="s">
        <v>23</v>
      </c>
      <c r="L158" s="54">
        <f ca="1">L61*OFFSET(Populacao!$I$86,'Market Share'!$AF158-1,0)</f>
        <v>0</v>
      </c>
      <c r="M158" s="54">
        <f ca="1">M61*OFFSET(Populacao!$I$86,'Market Share'!$AF158-1,0)</f>
        <v>0</v>
      </c>
      <c r="N158" s="54">
        <f ca="1">N61*OFFSET(Populacao!$I$86,'Market Share'!$AF158-1,0)</f>
        <v>0</v>
      </c>
      <c r="O158" s="54">
        <f ca="1">O61*OFFSET(Populacao!$I$86,'Market Share'!$AF158-1,0)</f>
        <v>0</v>
      </c>
      <c r="P158" s="54">
        <f ca="1">P61*OFFSET(Populacao!$I$86,'Market Share'!$AF158-1,0)</f>
        <v>0</v>
      </c>
      <c r="Q158" s="54">
        <f t="shared" ca="1" si="19"/>
        <v>0</v>
      </c>
      <c r="R158" s="101"/>
      <c r="AF158" s="109">
        <v>6</v>
      </c>
      <c r="AG158" s="109" t="str">
        <f>(IF(OR(AF158&gt;controle_formulario!$I$16,$C$152&gt;controle_formulario!$E$16),"Ocultar",""))</f>
        <v>Ocultar</v>
      </c>
    </row>
    <row r="159" spans="1:33" hidden="1" x14ac:dyDescent="0.3">
      <c r="A159" s="6"/>
      <c r="B159" s="64"/>
      <c r="C159" s="56" t="s">
        <v>24</v>
      </c>
      <c r="D159" s="54">
        <f ca="1">D62*OFFSET(Populacao!$I$86,'Market Share'!$AF159-1,0)</f>
        <v>0</v>
      </c>
      <c r="E159" s="54">
        <f ca="1">E62*OFFSET(Populacao!$I$86,'Market Share'!$AF159-1,0)</f>
        <v>0</v>
      </c>
      <c r="F159" s="54">
        <f ca="1">F62*OFFSET(Populacao!$I$86,'Market Share'!$AF159-1,0)</f>
        <v>0</v>
      </c>
      <c r="G159" s="54">
        <f ca="1">G62*OFFSET(Populacao!$I$86,'Market Share'!$AF159-1,0)</f>
        <v>0</v>
      </c>
      <c r="H159" s="54">
        <f ca="1">H62*OFFSET(Populacao!$I$86,'Market Share'!$AF159-1,0)</f>
        <v>0</v>
      </c>
      <c r="I159" s="54">
        <f t="shared" ca="1" si="18"/>
        <v>0</v>
      </c>
      <c r="J159" s="48"/>
      <c r="K159" s="56" t="s">
        <v>24</v>
      </c>
      <c r="L159" s="54">
        <f ca="1">L62*OFFSET(Populacao!$I$86,'Market Share'!$AF159-1,0)</f>
        <v>0</v>
      </c>
      <c r="M159" s="54">
        <f ca="1">M62*OFFSET(Populacao!$I$86,'Market Share'!$AF159-1,0)</f>
        <v>0</v>
      </c>
      <c r="N159" s="54">
        <f ca="1">N62*OFFSET(Populacao!$I$86,'Market Share'!$AF159-1,0)</f>
        <v>0</v>
      </c>
      <c r="O159" s="54">
        <f ca="1">O62*OFFSET(Populacao!$I$86,'Market Share'!$AF159-1,0)</f>
        <v>0</v>
      </c>
      <c r="P159" s="54">
        <f ca="1">P62*OFFSET(Populacao!$I$86,'Market Share'!$AF159-1,0)</f>
        <v>0</v>
      </c>
      <c r="Q159" s="54">
        <f t="shared" ca="1" si="19"/>
        <v>0</v>
      </c>
      <c r="R159" s="101"/>
      <c r="AF159" s="109">
        <v>7</v>
      </c>
      <c r="AG159" s="109" t="str">
        <f>(IF(OR(AF159&gt;controle_formulario!$I$16,$C$152&gt;controle_formulario!$E$16),"Ocultar",""))</f>
        <v>Ocultar</v>
      </c>
    </row>
    <row r="160" spans="1:33" hidden="1" x14ac:dyDescent="0.3">
      <c r="A160" s="6"/>
      <c r="B160" s="64"/>
      <c r="C160" s="56" t="s">
        <v>25</v>
      </c>
      <c r="D160" s="54">
        <f ca="1">D63*OFFSET(Populacao!$I$86,'Market Share'!$AF160-1,0)</f>
        <v>0</v>
      </c>
      <c r="E160" s="54">
        <f ca="1">E63*OFFSET(Populacao!$I$86,'Market Share'!$AF160-1,0)</f>
        <v>0</v>
      </c>
      <c r="F160" s="54">
        <f ca="1">F63*OFFSET(Populacao!$I$86,'Market Share'!$AF160-1,0)</f>
        <v>0</v>
      </c>
      <c r="G160" s="54">
        <f ca="1">G63*OFFSET(Populacao!$I$86,'Market Share'!$AF160-1,0)</f>
        <v>0</v>
      </c>
      <c r="H160" s="54">
        <f ca="1">H63*OFFSET(Populacao!$I$86,'Market Share'!$AF160-1,0)</f>
        <v>0</v>
      </c>
      <c r="I160" s="54">
        <f t="shared" ca="1" si="18"/>
        <v>0</v>
      </c>
      <c r="J160" s="48"/>
      <c r="K160" s="56" t="s">
        <v>25</v>
      </c>
      <c r="L160" s="54">
        <f ca="1">L63*OFFSET(Populacao!$I$86,'Market Share'!$AF160-1,0)</f>
        <v>0</v>
      </c>
      <c r="M160" s="54">
        <f ca="1">M63*OFFSET(Populacao!$I$86,'Market Share'!$AF160-1,0)</f>
        <v>0</v>
      </c>
      <c r="N160" s="54">
        <f ca="1">N63*OFFSET(Populacao!$I$86,'Market Share'!$AF160-1,0)</f>
        <v>0</v>
      </c>
      <c r="O160" s="54">
        <f ca="1">O63*OFFSET(Populacao!$I$86,'Market Share'!$AF160-1,0)</f>
        <v>0</v>
      </c>
      <c r="P160" s="54">
        <f ca="1">P63*OFFSET(Populacao!$I$86,'Market Share'!$AF160-1,0)</f>
        <v>0</v>
      </c>
      <c r="Q160" s="54">
        <f t="shared" ca="1" si="19"/>
        <v>0</v>
      </c>
      <c r="R160" s="101"/>
      <c r="AF160" s="109">
        <v>8</v>
      </c>
      <c r="AG160" s="109" t="str">
        <f>(IF(OR(AF160&gt;controle_formulario!$I$16,$C$152&gt;controle_formulario!$E$16),"Ocultar",""))</f>
        <v>Ocultar</v>
      </c>
    </row>
    <row r="161" spans="1:33" hidden="1" x14ac:dyDescent="0.3">
      <c r="A161" s="6"/>
      <c r="B161" s="64"/>
      <c r="C161" s="56" t="s">
        <v>26</v>
      </c>
      <c r="D161" s="54">
        <f ca="1">D64*OFFSET(Populacao!$I$86,'Market Share'!$AF161-1,0)</f>
        <v>0</v>
      </c>
      <c r="E161" s="54">
        <f ca="1">E64*OFFSET(Populacao!$I$86,'Market Share'!$AF161-1,0)</f>
        <v>0</v>
      </c>
      <c r="F161" s="54">
        <f ca="1">F64*OFFSET(Populacao!$I$86,'Market Share'!$AF161-1,0)</f>
        <v>0</v>
      </c>
      <c r="G161" s="54">
        <f ca="1">G64*OFFSET(Populacao!$I$86,'Market Share'!$AF161-1,0)</f>
        <v>0</v>
      </c>
      <c r="H161" s="54">
        <f ca="1">H64*OFFSET(Populacao!$I$86,'Market Share'!$AF161-1,0)</f>
        <v>0</v>
      </c>
      <c r="I161" s="54">
        <f t="shared" ca="1" si="18"/>
        <v>0</v>
      </c>
      <c r="J161" s="48"/>
      <c r="K161" s="56" t="s">
        <v>26</v>
      </c>
      <c r="L161" s="54">
        <f ca="1">L64*OFFSET(Populacao!$I$86,'Market Share'!$AF161-1,0)</f>
        <v>0</v>
      </c>
      <c r="M161" s="54">
        <f ca="1">M64*OFFSET(Populacao!$I$86,'Market Share'!$AF161-1,0)</f>
        <v>0</v>
      </c>
      <c r="N161" s="54">
        <f ca="1">N64*OFFSET(Populacao!$I$86,'Market Share'!$AF161-1,0)</f>
        <v>0</v>
      </c>
      <c r="O161" s="54">
        <f ca="1">O64*OFFSET(Populacao!$I$86,'Market Share'!$AF161-1,0)</f>
        <v>0</v>
      </c>
      <c r="P161" s="54">
        <f ca="1">P64*OFFSET(Populacao!$I$86,'Market Share'!$AF161-1,0)</f>
        <v>0</v>
      </c>
      <c r="Q161" s="54">
        <f t="shared" ca="1" si="19"/>
        <v>0</v>
      </c>
      <c r="R161" s="101"/>
      <c r="AF161" s="109">
        <v>9</v>
      </c>
      <c r="AG161" s="109" t="str">
        <f>(IF(OR(AF161&gt;controle_formulario!$I$16,$C$152&gt;controle_formulario!$E$16),"Ocultar",""))</f>
        <v>Ocultar</v>
      </c>
    </row>
    <row r="162" spans="1:33" hidden="1" x14ac:dyDescent="0.3">
      <c r="A162" s="6"/>
      <c r="B162" s="64"/>
      <c r="C162" s="56" t="s">
        <v>27</v>
      </c>
      <c r="D162" s="54">
        <f ca="1">D65*OFFSET(Populacao!$I$86,'Market Share'!$AF162-1,0)</f>
        <v>0</v>
      </c>
      <c r="E162" s="54">
        <f ca="1">E65*OFFSET(Populacao!$I$86,'Market Share'!$AF162-1,0)</f>
        <v>0</v>
      </c>
      <c r="F162" s="54">
        <f ca="1">F65*OFFSET(Populacao!$I$86,'Market Share'!$AF162-1,0)</f>
        <v>0</v>
      </c>
      <c r="G162" s="54">
        <f ca="1">G65*OFFSET(Populacao!$I$86,'Market Share'!$AF162-1,0)</f>
        <v>0</v>
      </c>
      <c r="H162" s="54">
        <f ca="1">H65*OFFSET(Populacao!$I$86,'Market Share'!$AF162-1,0)</f>
        <v>0</v>
      </c>
      <c r="I162" s="54">
        <f t="shared" ca="1" si="18"/>
        <v>0</v>
      </c>
      <c r="J162" s="48"/>
      <c r="K162" s="56" t="s">
        <v>27</v>
      </c>
      <c r="L162" s="54">
        <f ca="1">L65*OFFSET(Populacao!$I$86,'Market Share'!$AF162-1,0)</f>
        <v>0</v>
      </c>
      <c r="M162" s="54">
        <f ca="1">M65*OFFSET(Populacao!$I$86,'Market Share'!$AF162-1,0)</f>
        <v>0</v>
      </c>
      <c r="N162" s="54">
        <f ca="1">N65*OFFSET(Populacao!$I$86,'Market Share'!$AF162-1,0)</f>
        <v>0</v>
      </c>
      <c r="O162" s="54">
        <f ca="1">O65*OFFSET(Populacao!$I$86,'Market Share'!$AF162-1,0)</f>
        <v>0</v>
      </c>
      <c r="P162" s="54">
        <f ca="1">P65*OFFSET(Populacao!$I$86,'Market Share'!$AF162-1,0)</f>
        <v>0</v>
      </c>
      <c r="Q162" s="75">
        <f t="shared" ca="1" si="19"/>
        <v>0</v>
      </c>
      <c r="R162" s="101"/>
      <c r="AF162" s="109">
        <v>10</v>
      </c>
      <c r="AG162" s="109" t="str">
        <f>(IF(OR(AF162&gt;controle_formulario!$I$16,$C$152&gt;controle_formulario!$E$16),"Ocultar",""))</f>
        <v>Ocultar</v>
      </c>
    </row>
    <row r="163" spans="1:33" hidden="1" x14ac:dyDescent="0.3">
      <c r="A163" s="6"/>
      <c r="B163" s="64"/>
      <c r="C163" s="56" t="s">
        <v>29</v>
      </c>
      <c r="D163" s="77">
        <f ca="1">SUM(D153:D162)</f>
        <v>0</v>
      </c>
      <c r="E163" s="77">
        <f ca="1">SUM(E153:E162)</f>
        <v>0</v>
      </c>
      <c r="F163" s="77">
        <f ca="1">SUM(F153:F162)</f>
        <v>0</v>
      </c>
      <c r="G163" s="77">
        <f ca="1">SUM(G153:G162)</f>
        <v>0</v>
      </c>
      <c r="H163" s="77">
        <f ca="1">SUM(H153:H162)</f>
        <v>0</v>
      </c>
      <c r="I163" s="77">
        <f t="shared" ca="1" si="18"/>
        <v>0</v>
      </c>
      <c r="J163" s="48"/>
      <c r="K163" s="56" t="s">
        <v>29</v>
      </c>
      <c r="L163" s="77">
        <f ca="1">SUM(L153:L162)</f>
        <v>0</v>
      </c>
      <c r="M163" s="77">
        <f ca="1">SUM(M153:M162)</f>
        <v>0</v>
      </c>
      <c r="N163" s="77">
        <f ca="1">SUM(N153:N162)</f>
        <v>0</v>
      </c>
      <c r="O163" s="77">
        <f ca="1">SUM(O153:O162)</f>
        <v>0</v>
      </c>
      <c r="P163" s="77">
        <f ca="1">SUM(P153:P162)</f>
        <v>0</v>
      </c>
      <c r="Q163" s="77">
        <f t="shared" ca="1" si="19"/>
        <v>0</v>
      </c>
      <c r="R163" s="101"/>
      <c r="AG163" s="109" t="str">
        <f>IF($C$152&gt;controle_formulario!$E$16,"Ocultar","")</f>
        <v>Ocultar</v>
      </c>
    </row>
    <row r="164" spans="1:33" x14ac:dyDescent="0.3">
      <c r="A164" s="6"/>
      <c r="B164" s="64"/>
      <c r="D164" s="85"/>
      <c r="E164" s="85"/>
      <c r="F164" s="85"/>
      <c r="G164" s="85"/>
      <c r="H164" s="85"/>
      <c r="I164" s="85"/>
      <c r="J164" s="48"/>
      <c r="L164" s="85"/>
      <c r="M164" s="85"/>
      <c r="N164" s="85"/>
      <c r="O164" s="85"/>
      <c r="P164" s="85"/>
      <c r="Q164" s="85"/>
      <c r="R164" s="101"/>
    </row>
    <row r="165" spans="1:33" x14ac:dyDescent="0.3">
      <c r="A165" s="6"/>
      <c r="B165" s="64"/>
      <c r="R165" s="66"/>
    </row>
    <row r="166" spans="1:33" x14ac:dyDescent="0.3">
      <c r="A166" s="6"/>
      <c r="B166" s="64"/>
      <c r="R166" s="66"/>
    </row>
    <row r="167" spans="1:33" hidden="1" x14ac:dyDescent="0.3">
      <c r="A167" s="6"/>
      <c r="B167" s="64"/>
      <c r="C167" s="73" t="str">
        <f>cen.alt8</f>
        <v>Taxa de difusão em X anos: XX%</v>
      </c>
      <c r="D167" s="74"/>
      <c r="E167" s="74"/>
      <c r="F167" s="59"/>
      <c r="G167" s="59"/>
      <c r="H167" s="59"/>
      <c r="I167" s="59"/>
      <c r="J167" s="48"/>
      <c r="K167" s="73" t="str">
        <f>cen.alt9</f>
        <v>Taxa de difusão em X anos: XX%</v>
      </c>
      <c r="L167" s="73"/>
      <c r="M167" s="73"/>
      <c r="N167" s="73"/>
      <c r="O167" s="73"/>
      <c r="P167" s="73"/>
      <c r="Q167" s="73"/>
      <c r="R167" s="101"/>
      <c r="AG167" s="109" t="str">
        <f>IF($C$168&gt;controle_formulario!$E$16,"Ocultar","")</f>
        <v>Ocultar</v>
      </c>
    </row>
    <row r="168" spans="1:33" hidden="1" x14ac:dyDescent="0.3">
      <c r="A168" s="6"/>
      <c r="B168" s="64"/>
      <c r="C168" s="111">
        <v>8</v>
      </c>
      <c r="D168" s="57" t="str">
        <f>trat.novo</f>
        <v>Pirtobrutinibe</v>
      </c>
      <c r="E168" s="57" t="str">
        <f>trat.a</f>
        <v xml:space="preserve"> Conjunto de Tratamentos-Padrão</v>
      </c>
      <c r="F168" s="57">
        <f>trat.b</f>
        <v>0</v>
      </c>
      <c r="G168" s="57">
        <f>trat.c</f>
        <v>0</v>
      </c>
      <c r="H168" s="57">
        <f>trat.d</f>
        <v>0</v>
      </c>
      <c r="I168" s="57" t="s">
        <v>29</v>
      </c>
      <c r="J168" s="48"/>
      <c r="K168" s="111">
        <v>9</v>
      </c>
      <c r="L168" s="57" t="str">
        <f>trat.novo</f>
        <v>Pirtobrutinibe</v>
      </c>
      <c r="M168" s="57" t="str">
        <f>trat.a</f>
        <v xml:space="preserve"> Conjunto de Tratamentos-Padrão</v>
      </c>
      <c r="N168" s="57">
        <f>trat.b</f>
        <v>0</v>
      </c>
      <c r="O168" s="57">
        <f>trat.c</f>
        <v>0</v>
      </c>
      <c r="P168" s="57">
        <f>trat.d</f>
        <v>0</v>
      </c>
      <c r="Q168" s="57" t="s">
        <v>29</v>
      </c>
      <c r="R168" s="101"/>
      <c r="AG168" s="109" t="str">
        <f>IF($C$168&gt;controle_formulario!$E$16,"Ocultar","")</f>
        <v>Ocultar</v>
      </c>
    </row>
    <row r="169" spans="1:33" hidden="1" x14ac:dyDescent="0.3">
      <c r="A169" s="6"/>
      <c r="B169" s="64"/>
      <c r="C169" s="56" t="s">
        <v>18</v>
      </c>
      <c r="D169" s="54">
        <f ca="1">D72*OFFSET(Populacao!$I$86,'Market Share'!$AF169-1,0)</f>
        <v>0</v>
      </c>
      <c r="E169" s="54">
        <f ca="1">E72*OFFSET(Populacao!$I$86,'Market Share'!$AF169-1,0)</f>
        <v>0</v>
      </c>
      <c r="F169" s="54">
        <f ca="1">F72*OFFSET(Populacao!$I$86,'Market Share'!$AF169-1,0)</f>
        <v>0</v>
      </c>
      <c r="G169" s="54">
        <f ca="1">G72*OFFSET(Populacao!$I$86,'Market Share'!$AF169-1,0)</f>
        <v>0</v>
      </c>
      <c r="H169" s="54">
        <f ca="1">H72*OFFSET(Populacao!$I$86,'Market Share'!$AF169-1,0)</f>
        <v>0</v>
      </c>
      <c r="I169" s="54">
        <f ca="1">SUM(D169:H169)</f>
        <v>0</v>
      </c>
      <c r="J169" s="48"/>
      <c r="K169" s="56" t="s">
        <v>18</v>
      </c>
      <c r="L169" s="54">
        <f ca="1">L72*OFFSET(Populacao!$I$86,'Market Share'!$AF169-1,0)</f>
        <v>0</v>
      </c>
      <c r="M169" s="54">
        <f ca="1">M72*OFFSET(Populacao!$I$86,'Market Share'!$AF169-1,0)</f>
        <v>0</v>
      </c>
      <c r="N169" s="54">
        <f ca="1">N72*OFFSET(Populacao!$I$86,'Market Share'!$AF169-1,0)</f>
        <v>0</v>
      </c>
      <c r="O169" s="54">
        <f ca="1">O72*OFFSET(Populacao!$I$86,'Market Share'!$AF169-1,0)</f>
        <v>0</v>
      </c>
      <c r="P169" s="54">
        <f ca="1">P72*OFFSET(Populacao!$I$86,'Market Share'!$AF169-1,0)</f>
        <v>0</v>
      </c>
      <c r="Q169" s="54">
        <f ca="1">SUM(L169:P169)</f>
        <v>0</v>
      </c>
      <c r="R169" s="101"/>
      <c r="AF169" s="110">
        <v>1</v>
      </c>
      <c r="AG169" s="109" t="str">
        <f>IF($C$168&gt;controle_formulario!$E$16,"Ocultar","")</f>
        <v>Ocultar</v>
      </c>
    </row>
    <row r="170" spans="1:33" hidden="1" x14ac:dyDescent="0.3">
      <c r="A170" s="6"/>
      <c r="B170" s="64"/>
      <c r="C170" s="56" t="s">
        <v>19</v>
      </c>
      <c r="D170" s="54">
        <f ca="1">D73*OFFSET(Populacao!$I$86,'Market Share'!$AF170-1,0)</f>
        <v>0</v>
      </c>
      <c r="E170" s="54">
        <f ca="1">E73*OFFSET(Populacao!$I$86,'Market Share'!$AF170-1,0)</f>
        <v>0</v>
      </c>
      <c r="F170" s="54">
        <f ca="1">F73*OFFSET(Populacao!$I$86,'Market Share'!$AF170-1,0)</f>
        <v>0</v>
      </c>
      <c r="G170" s="54">
        <f ca="1">G73*OFFSET(Populacao!$I$86,'Market Share'!$AF170-1,0)</f>
        <v>0</v>
      </c>
      <c r="H170" s="54">
        <f ca="1">H73*OFFSET(Populacao!$I$86,'Market Share'!$AF170-1,0)</f>
        <v>0</v>
      </c>
      <c r="I170" s="54">
        <f t="shared" ref="I170:I179" ca="1" si="20">SUM(D170:H170)</f>
        <v>0</v>
      </c>
      <c r="J170" s="48"/>
      <c r="K170" s="56" t="s">
        <v>19</v>
      </c>
      <c r="L170" s="54">
        <f ca="1">L73*OFFSET(Populacao!$I$86,'Market Share'!$AF170-1,0)</f>
        <v>0</v>
      </c>
      <c r="M170" s="54">
        <f ca="1">M73*OFFSET(Populacao!$I$86,'Market Share'!$AF170-1,0)</f>
        <v>0</v>
      </c>
      <c r="N170" s="54">
        <f ca="1">N73*OFFSET(Populacao!$I$86,'Market Share'!$AF170-1,0)</f>
        <v>0</v>
      </c>
      <c r="O170" s="54">
        <f ca="1">O73*OFFSET(Populacao!$I$86,'Market Share'!$AF170-1,0)</f>
        <v>0</v>
      </c>
      <c r="P170" s="54">
        <f ca="1">P73*OFFSET(Populacao!$I$86,'Market Share'!$AF170-1,0)</f>
        <v>0</v>
      </c>
      <c r="Q170" s="54">
        <f t="shared" ref="Q170:Q179" ca="1" si="21">SUM(L170:P170)</f>
        <v>0</v>
      </c>
      <c r="R170" s="101"/>
      <c r="AF170" s="109">
        <v>2</v>
      </c>
      <c r="AG170" s="109" t="str">
        <f>(IF(OR(AF170&gt;controle_formulario!$I$16,$C$168&gt;controle_formulario!$E$16),"Ocultar",""))</f>
        <v>Ocultar</v>
      </c>
    </row>
    <row r="171" spans="1:33" hidden="1" x14ac:dyDescent="0.3">
      <c r="A171" s="6"/>
      <c r="B171" s="64"/>
      <c r="C171" s="56" t="s">
        <v>20</v>
      </c>
      <c r="D171" s="54">
        <f ca="1">D74*OFFSET(Populacao!$I$86,'Market Share'!$AF171-1,0)</f>
        <v>0</v>
      </c>
      <c r="E171" s="54">
        <f ca="1">E74*OFFSET(Populacao!$I$86,'Market Share'!$AF171-1,0)</f>
        <v>0</v>
      </c>
      <c r="F171" s="54">
        <f ca="1">F74*OFFSET(Populacao!$I$86,'Market Share'!$AF171-1,0)</f>
        <v>0</v>
      </c>
      <c r="G171" s="54">
        <f ca="1">G74*OFFSET(Populacao!$I$86,'Market Share'!$AF171-1,0)</f>
        <v>0</v>
      </c>
      <c r="H171" s="54">
        <f ca="1">H74*OFFSET(Populacao!$I$86,'Market Share'!$AF171-1,0)</f>
        <v>0</v>
      </c>
      <c r="I171" s="54">
        <f t="shared" ca="1" si="20"/>
        <v>0</v>
      </c>
      <c r="J171" s="48"/>
      <c r="K171" s="56" t="s">
        <v>20</v>
      </c>
      <c r="L171" s="54">
        <f ca="1">L74*OFFSET(Populacao!$I$86,'Market Share'!$AF171-1,0)</f>
        <v>0</v>
      </c>
      <c r="M171" s="54">
        <f ca="1">M74*OFFSET(Populacao!$I$86,'Market Share'!$AF171-1,0)</f>
        <v>0</v>
      </c>
      <c r="N171" s="54">
        <f ca="1">N74*OFFSET(Populacao!$I$86,'Market Share'!$AF171-1,0)</f>
        <v>0</v>
      </c>
      <c r="O171" s="54">
        <f ca="1">O74*OFFSET(Populacao!$I$86,'Market Share'!$AF171-1,0)</f>
        <v>0</v>
      </c>
      <c r="P171" s="54">
        <f ca="1">P74*OFFSET(Populacao!$I$86,'Market Share'!$AF171-1,0)</f>
        <v>0</v>
      </c>
      <c r="Q171" s="54">
        <f t="shared" ca="1" si="21"/>
        <v>0</v>
      </c>
      <c r="R171" s="101"/>
      <c r="AF171" s="109">
        <v>3</v>
      </c>
      <c r="AG171" s="109" t="str">
        <f>(IF(OR(AF171&gt;controle_formulario!$I$16,$C$168&gt;controle_formulario!$E$16),"Ocultar",""))</f>
        <v>Ocultar</v>
      </c>
    </row>
    <row r="172" spans="1:33" hidden="1" x14ac:dyDescent="0.3">
      <c r="A172" s="6"/>
      <c r="B172" s="64"/>
      <c r="C172" s="56" t="s">
        <v>21</v>
      </c>
      <c r="D172" s="54">
        <f ca="1">D75*OFFSET(Populacao!$I$86,'Market Share'!$AF172-1,0)</f>
        <v>0</v>
      </c>
      <c r="E172" s="54">
        <f ca="1">E75*OFFSET(Populacao!$I$86,'Market Share'!$AF172-1,0)</f>
        <v>0</v>
      </c>
      <c r="F172" s="54">
        <f ca="1">F75*OFFSET(Populacao!$I$86,'Market Share'!$AF172-1,0)</f>
        <v>0</v>
      </c>
      <c r="G172" s="54">
        <f ca="1">G75*OFFSET(Populacao!$I$86,'Market Share'!$AF172-1,0)</f>
        <v>0</v>
      </c>
      <c r="H172" s="54">
        <f ca="1">H75*OFFSET(Populacao!$I$86,'Market Share'!$AF172-1,0)</f>
        <v>0</v>
      </c>
      <c r="I172" s="54">
        <f t="shared" ca="1" si="20"/>
        <v>0</v>
      </c>
      <c r="J172" s="48"/>
      <c r="K172" s="56" t="s">
        <v>21</v>
      </c>
      <c r="L172" s="54">
        <f ca="1">L75*OFFSET(Populacao!$I$86,'Market Share'!$AF172-1,0)</f>
        <v>0</v>
      </c>
      <c r="M172" s="54">
        <f ca="1">M75*OFFSET(Populacao!$I$86,'Market Share'!$AF172-1,0)</f>
        <v>0</v>
      </c>
      <c r="N172" s="54">
        <f ca="1">N75*OFFSET(Populacao!$I$86,'Market Share'!$AF172-1,0)</f>
        <v>0</v>
      </c>
      <c r="O172" s="54">
        <f ca="1">O75*OFFSET(Populacao!$I$86,'Market Share'!$AF172-1,0)</f>
        <v>0</v>
      </c>
      <c r="P172" s="54">
        <f ca="1">P75*OFFSET(Populacao!$I$86,'Market Share'!$AF172-1,0)</f>
        <v>0</v>
      </c>
      <c r="Q172" s="54">
        <f t="shared" ca="1" si="21"/>
        <v>0</v>
      </c>
      <c r="R172" s="101"/>
      <c r="AF172" s="109">
        <v>4</v>
      </c>
      <c r="AG172" s="109" t="str">
        <f>(IF(OR(AF172&gt;controle_formulario!$I$16,$C$168&gt;controle_formulario!$E$16),"Ocultar",""))</f>
        <v>Ocultar</v>
      </c>
    </row>
    <row r="173" spans="1:33" hidden="1" x14ac:dyDescent="0.3">
      <c r="A173" s="6"/>
      <c r="B173" s="64"/>
      <c r="C173" s="56" t="s">
        <v>22</v>
      </c>
      <c r="D173" s="54">
        <f ca="1">D76*OFFSET(Populacao!$I$86,'Market Share'!$AF173-1,0)</f>
        <v>0</v>
      </c>
      <c r="E173" s="54">
        <f ca="1">E76*OFFSET(Populacao!$I$86,'Market Share'!$AF173-1,0)</f>
        <v>0</v>
      </c>
      <c r="F173" s="54">
        <f ca="1">F76*OFFSET(Populacao!$I$86,'Market Share'!$AF173-1,0)</f>
        <v>0</v>
      </c>
      <c r="G173" s="54">
        <f ca="1">G76*OFFSET(Populacao!$I$86,'Market Share'!$AF173-1,0)</f>
        <v>0</v>
      </c>
      <c r="H173" s="54">
        <f ca="1">H76*OFFSET(Populacao!$I$86,'Market Share'!$AF173-1,0)</f>
        <v>0</v>
      </c>
      <c r="I173" s="54">
        <f t="shared" ca="1" si="20"/>
        <v>0</v>
      </c>
      <c r="J173" s="48"/>
      <c r="K173" s="56" t="s">
        <v>22</v>
      </c>
      <c r="L173" s="54">
        <f ca="1">L76*OFFSET(Populacao!$I$86,'Market Share'!$AF173-1,0)</f>
        <v>0</v>
      </c>
      <c r="M173" s="54">
        <f ca="1">M76*OFFSET(Populacao!$I$86,'Market Share'!$AF173-1,0)</f>
        <v>0</v>
      </c>
      <c r="N173" s="54">
        <f ca="1">N76*OFFSET(Populacao!$I$86,'Market Share'!$AF173-1,0)</f>
        <v>0</v>
      </c>
      <c r="O173" s="54">
        <f ca="1">O76*OFFSET(Populacao!$I$86,'Market Share'!$AF173-1,0)</f>
        <v>0</v>
      </c>
      <c r="P173" s="54">
        <f ca="1">P76*OFFSET(Populacao!$I$86,'Market Share'!$AF173-1,0)</f>
        <v>0</v>
      </c>
      <c r="Q173" s="54">
        <f t="shared" ca="1" si="21"/>
        <v>0</v>
      </c>
      <c r="R173" s="101"/>
      <c r="AF173" s="109">
        <v>5</v>
      </c>
      <c r="AG173" s="109" t="str">
        <f>(IF(OR(AF173&gt;controle_formulario!$I$16,$C$168&gt;controle_formulario!$E$16),"Ocultar",""))</f>
        <v>Ocultar</v>
      </c>
    </row>
    <row r="174" spans="1:33" hidden="1" x14ac:dyDescent="0.3">
      <c r="A174" s="6"/>
      <c r="B174" s="64"/>
      <c r="C174" s="56" t="s">
        <v>23</v>
      </c>
      <c r="D174" s="54">
        <f ca="1">D77*OFFSET(Populacao!$I$86,'Market Share'!$AF174-1,0)</f>
        <v>0</v>
      </c>
      <c r="E174" s="54">
        <f ca="1">E77*OFFSET(Populacao!$I$86,'Market Share'!$AF174-1,0)</f>
        <v>0</v>
      </c>
      <c r="F174" s="54">
        <f ca="1">F77*OFFSET(Populacao!$I$86,'Market Share'!$AF174-1,0)</f>
        <v>0</v>
      </c>
      <c r="G174" s="54">
        <f ca="1">G77*OFFSET(Populacao!$I$86,'Market Share'!$AF174-1,0)</f>
        <v>0</v>
      </c>
      <c r="H174" s="54">
        <f ca="1">H77*OFFSET(Populacao!$I$86,'Market Share'!$AF174-1,0)</f>
        <v>0</v>
      </c>
      <c r="I174" s="54">
        <f t="shared" ca="1" si="20"/>
        <v>0</v>
      </c>
      <c r="J174" s="48"/>
      <c r="K174" s="56" t="s">
        <v>23</v>
      </c>
      <c r="L174" s="54">
        <f ca="1">L77*OFFSET(Populacao!$I$86,'Market Share'!$AF174-1,0)</f>
        <v>0</v>
      </c>
      <c r="M174" s="54">
        <f ca="1">M77*OFFSET(Populacao!$I$86,'Market Share'!$AF174-1,0)</f>
        <v>0</v>
      </c>
      <c r="N174" s="54">
        <f ca="1">N77*OFFSET(Populacao!$I$86,'Market Share'!$AF174-1,0)</f>
        <v>0</v>
      </c>
      <c r="O174" s="54">
        <f ca="1">O77*OFFSET(Populacao!$I$86,'Market Share'!$AF174-1,0)</f>
        <v>0</v>
      </c>
      <c r="P174" s="54">
        <f ca="1">P77*OFFSET(Populacao!$I$86,'Market Share'!$AF174-1,0)</f>
        <v>0</v>
      </c>
      <c r="Q174" s="54">
        <f t="shared" ca="1" si="21"/>
        <v>0</v>
      </c>
      <c r="R174" s="101"/>
      <c r="AF174" s="109">
        <v>6</v>
      </c>
      <c r="AG174" s="109" t="str">
        <f>(IF(OR(AF174&gt;controle_formulario!$I$16,$C$168&gt;controle_formulario!$E$16),"Ocultar",""))</f>
        <v>Ocultar</v>
      </c>
    </row>
    <row r="175" spans="1:33" hidden="1" x14ac:dyDescent="0.3">
      <c r="A175" s="6"/>
      <c r="B175" s="64"/>
      <c r="C175" s="56" t="s">
        <v>24</v>
      </c>
      <c r="D175" s="54">
        <f ca="1">D78*OFFSET(Populacao!$I$86,'Market Share'!$AF175-1,0)</f>
        <v>0</v>
      </c>
      <c r="E175" s="54">
        <f ca="1">E78*OFFSET(Populacao!$I$86,'Market Share'!$AF175-1,0)</f>
        <v>0</v>
      </c>
      <c r="F175" s="54">
        <f ca="1">F78*OFFSET(Populacao!$I$86,'Market Share'!$AF175-1,0)</f>
        <v>0</v>
      </c>
      <c r="G175" s="54">
        <f ca="1">G78*OFFSET(Populacao!$I$86,'Market Share'!$AF175-1,0)</f>
        <v>0</v>
      </c>
      <c r="H175" s="54">
        <f ca="1">H78*OFFSET(Populacao!$I$86,'Market Share'!$AF175-1,0)</f>
        <v>0</v>
      </c>
      <c r="I175" s="54">
        <f t="shared" ca="1" si="20"/>
        <v>0</v>
      </c>
      <c r="J175" s="48"/>
      <c r="K175" s="56" t="s">
        <v>24</v>
      </c>
      <c r="L175" s="54">
        <f ca="1">L78*OFFSET(Populacao!$I$86,'Market Share'!$AF175-1,0)</f>
        <v>0</v>
      </c>
      <c r="M175" s="54">
        <f ca="1">M78*OFFSET(Populacao!$I$86,'Market Share'!$AF175-1,0)</f>
        <v>0</v>
      </c>
      <c r="N175" s="54">
        <f ca="1">N78*OFFSET(Populacao!$I$86,'Market Share'!$AF175-1,0)</f>
        <v>0</v>
      </c>
      <c r="O175" s="54">
        <f ca="1">O78*OFFSET(Populacao!$I$86,'Market Share'!$AF175-1,0)</f>
        <v>0</v>
      </c>
      <c r="P175" s="54">
        <f ca="1">P78*OFFSET(Populacao!$I$86,'Market Share'!$AF175-1,0)</f>
        <v>0</v>
      </c>
      <c r="Q175" s="54">
        <f t="shared" ca="1" si="21"/>
        <v>0</v>
      </c>
      <c r="R175" s="101"/>
      <c r="AF175" s="109">
        <v>7</v>
      </c>
      <c r="AG175" s="109" t="str">
        <f>(IF(OR(AF175&gt;controle_formulario!$I$16,$C$168&gt;controle_formulario!$E$16),"Ocultar",""))</f>
        <v>Ocultar</v>
      </c>
    </row>
    <row r="176" spans="1:33" hidden="1" x14ac:dyDescent="0.3">
      <c r="A176" s="6"/>
      <c r="B176" s="64"/>
      <c r="C176" s="56" t="s">
        <v>25</v>
      </c>
      <c r="D176" s="54">
        <f ca="1">D79*OFFSET(Populacao!$I$86,'Market Share'!$AF176-1,0)</f>
        <v>0</v>
      </c>
      <c r="E176" s="54">
        <f ca="1">E79*OFFSET(Populacao!$I$86,'Market Share'!$AF176-1,0)</f>
        <v>0</v>
      </c>
      <c r="F176" s="54">
        <f ca="1">F79*OFFSET(Populacao!$I$86,'Market Share'!$AF176-1,0)</f>
        <v>0</v>
      </c>
      <c r="G176" s="54">
        <f ca="1">G79*OFFSET(Populacao!$I$86,'Market Share'!$AF176-1,0)</f>
        <v>0</v>
      </c>
      <c r="H176" s="54">
        <f ca="1">H79*OFFSET(Populacao!$I$86,'Market Share'!$AF176-1,0)</f>
        <v>0</v>
      </c>
      <c r="I176" s="54">
        <f t="shared" ca="1" si="20"/>
        <v>0</v>
      </c>
      <c r="J176" s="48"/>
      <c r="K176" s="56" t="s">
        <v>25</v>
      </c>
      <c r="L176" s="54">
        <f ca="1">L79*OFFSET(Populacao!$I$86,'Market Share'!$AF176-1,0)</f>
        <v>0</v>
      </c>
      <c r="M176" s="54">
        <f ca="1">M79*OFFSET(Populacao!$I$86,'Market Share'!$AF176-1,0)</f>
        <v>0</v>
      </c>
      <c r="N176" s="54">
        <f ca="1">N79*OFFSET(Populacao!$I$86,'Market Share'!$AF176-1,0)</f>
        <v>0</v>
      </c>
      <c r="O176" s="54">
        <f ca="1">O79*OFFSET(Populacao!$I$86,'Market Share'!$AF176-1,0)</f>
        <v>0</v>
      </c>
      <c r="P176" s="54">
        <f ca="1">P79*OFFSET(Populacao!$I$86,'Market Share'!$AF176-1,0)</f>
        <v>0</v>
      </c>
      <c r="Q176" s="54">
        <f t="shared" ca="1" si="21"/>
        <v>0</v>
      </c>
      <c r="R176" s="101"/>
      <c r="AF176" s="109">
        <v>8</v>
      </c>
      <c r="AG176" s="109" t="str">
        <f>(IF(OR(AF176&gt;controle_formulario!$I$16,$C$168&gt;controle_formulario!$E$16),"Ocultar",""))</f>
        <v>Ocultar</v>
      </c>
    </row>
    <row r="177" spans="1:33" hidden="1" x14ac:dyDescent="0.3">
      <c r="A177" s="6"/>
      <c r="B177" s="64"/>
      <c r="C177" s="56" t="s">
        <v>26</v>
      </c>
      <c r="D177" s="54">
        <f ca="1">D80*OFFSET(Populacao!$I$86,'Market Share'!$AF177-1,0)</f>
        <v>0</v>
      </c>
      <c r="E177" s="54">
        <f ca="1">E80*OFFSET(Populacao!$I$86,'Market Share'!$AF177-1,0)</f>
        <v>0</v>
      </c>
      <c r="F177" s="54">
        <f ca="1">F80*OFFSET(Populacao!$I$86,'Market Share'!$AF177-1,0)</f>
        <v>0</v>
      </c>
      <c r="G177" s="54">
        <f ca="1">G80*OFFSET(Populacao!$I$86,'Market Share'!$AF177-1,0)</f>
        <v>0</v>
      </c>
      <c r="H177" s="54">
        <f ca="1">H80*OFFSET(Populacao!$I$86,'Market Share'!$AF177-1,0)</f>
        <v>0</v>
      </c>
      <c r="I177" s="54">
        <f t="shared" ca="1" si="20"/>
        <v>0</v>
      </c>
      <c r="J177" s="48"/>
      <c r="K177" s="56" t="s">
        <v>26</v>
      </c>
      <c r="L177" s="54">
        <f ca="1">L80*OFFSET(Populacao!$I$86,'Market Share'!$AF177-1,0)</f>
        <v>0</v>
      </c>
      <c r="M177" s="54">
        <f ca="1">M80*OFFSET(Populacao!$I$86,'Market Share'!$AF177-1,0)</f>
        <v>0</v>
      </c>
      <c r="N177" s="54">
        <f ca="1">N80*OFFSET(Populacao!$I$86,'Market Share'!$AF177-1,0)</f>
        <v>0</v>
      </c>
      <c r="O177" s="54">
        <f ca="1">O80*OFFSET(Populacao!$I$86,'Market Share'!$AF177-1,0)</f>
        <v>0</v>
      </c>
      <c r="P177" s="54">
        <f ca="1">P80*OFFSET(Populacao!$I$86,'Market Share'!$AF177-1,0)</f>
        <v>0</v>
      </c>
      <c r="Q177" s="54">
        <f t="shared" ca="1" si="21"/>
        <v>0</v>
      </c>
      <c r="R177" s="101"/>
      <c r="AF177" s="109">
        <v>9</v>
      </c>
      <c r="AG177" s="109" t="str">
        <f>(IF(OR(AF177&gt;controle_formulario!$I$16,$C$168&gt;controle_formulario!$E$16),"Ocultar",""))</f>
        <v>Ocultar</v>
      </c>
    </row>
    <row r="178" spans="1:33" hidden="1" x14ac:dyDescent="0.3">
      <c r="A178" s="6"/>
      <c r="B178" s="64"/>
      <c r="C178" s="56" t="s">
        <v>27</v>
      </c>
      <c r="D178" s="54">
        <f ca="1">D81*OFFSET(Populacao!$I$86,'Market Share'!$AF178-1,0)</f>
        <v>0</v>
      </c>
      <c r="E178" s="54">
        <f ca="1">E81*OFFSET(Populacao!$I$86,'Market Share'!$AF178-1,0)</f>
        <v>0</v>
      </c>
      <c r="F178" s="54">
        <f ca="1">F81*OFFSET(Populacao!$I$86,'Market Share'!$AF178-1,0)</f>
        <v>0</v>
      </c>
      <c r="G178" s="54">
        <f ca="1">G81*OFFSET(Populacao!$I$86,'Market Share'!$AF178-1,0)</f>
        <v>0</v>
      </c>
      <c r="H178" s="54">
        <f ca="1">H81*OFFSET(Populacao!$I$86,'Market Share'!$AF178-1,0)</f>
        <v>0</v>
      </c>
      <c r="I178" s="54">
        <f t="shared" ca="1" si="20"/>
        <v>0</v>
      </c>
      <c r="J178" s="48"/>
      <c r="K178" s="56" t="s">
        <v>27</v>
      </c>
      <c r="L178" s="54">
        <f ca="1">L81*OFFSET(Populacao!$I$86,'Market Share'!$AF178-1,0)</f>
        <v>0</v>
      </c>
      <c r="M178" s="54">
        <f ca="1">M81*OFFSET(Populacao!$I$86,'Market Share'!$AF178-1,0)</f>
        <v>0</v>
      </c>
      <c r="N178" s="54">
        <f ca="1">N81*OFFSET(Populacao!$I$86,'Market Share'!$AF178-1,0)</f>
        <v>0</v>
      </c>
      <c r="O178" s="54">
        <f ca="1">O81*OFFSET(Populacao!$I$86,'Market Share'!$AF178-1,0)</f>
        <v>0</v>
      </c>
      <c r="P178" s="54">
        <f ca="1">P81*OFFSET(Populacao!$I$86,'Market Share'!$AF178-1,0)</f>
        <v>0</v>
      </c>
      <c r="Q178" s="75">
        <f t="shared" ca="1" si="21"/>
        <v>0</v>
      </c>
      <c r="R178" s="101"/>
      <c r="AF178" s="109">
        <v>10</v>
      </c>
      <c r="AG178" s="109" t="str">
        <f>(IF(OR(AF178&gt;controle_formulario!$I$16,$C$168&gt;controle_formulario!$E$16),"Ocultar",""))</f>
        <v>Ocultar</v>
      </c>
    </row>
    <row r="179" spans="1:33" hidden="1" x14ac:dyDescent="0.3">
      <c r="A179" s="6"/>
      <c r="B179" s="64"/>
      <c r="C179" s="56" t="s">
        <v>29</v>
      </c>
      <c r="D179" s="77">
        <f ca="1">SUM(D169:D178)</f>
        <v>0</v>
      </c>
      <c r="E179" s="77">
        <f ca="1">SUM(E169:E178)</f>
        <v>0</v>
      </c>
      <c r="F179" s="77">
        <f ca="1">SUM(F169:F178)</f>
        <v>0</v>
      </c>
      <c r="G179" s="77">
        <f ca="1">SUM(G169:G178)</f>
        <v>0</v>
      </c>
      <c r="H179" s="77">
        <f ca="1">SUM(H169:H178)</f>
        <v>0</v>
      </c>
      <c r="I179" s="77">
        <f t="shared" ca="1" si="20"/>
        <v>0</v>
      </c>
      <c r="J179" s="48"/>
      <c r="K179" s="56" t="s">
        <v>29</v>
      </c>
      <c r="L179" s="77">
        <f ca="1">SUM(L169:L178)</f>
        <v>0</v>
      </c>
      <c r="M179" s="77">
        <f ca="1">SUM(M169:M178)</f>
        <v>0</v>
      </c>
      <c r="N179" s="77">
        <f ca="1">SUM(N169:N178)</f>
        <v>0</v>
      </c>
      <c r="O179" s="77">
        <f ca="1">SUM(O169:O178)</f>
        <v>0</v>
      </c>
      <c r="P179" s="77">
        <f ca="1">SUM(P169:P178)</f>
        <v>0</v>
      </c>
      <c r="Q179" s="77">
        <f t="shared" ca="1" si="21"/>
        <v>0</v>
      </c>
      <c r="R179" s="101"/>
      <c r="AG179" s="109" t="str">
        <f>IF($C$168&gt;controle_formulario!$E$16,"Ocultar","")</f>
        <v>Ocultar</v>
      </c>
    </row>
    <row r="180" spans="1:33" x14ac:dyDescent="0.3">
      <c r="A180" s="6"/>
      <c r="B180" s="64"/>
      <c r="D180" s="85"/>
      <c r="E180" s="85"/>
      <c r="F180" s="85"/>
      <c r="G180" s="85"/>
      <c r="H180" s="85"/>
      <c r="I180" s="85"/>
      <c r="J180" s="48"/>
      <c r="L180" s="85"/>
      <c r="M180" s="85"/>
      <c r="N180" s="85"/>
      <c r="O180" s="85"/>
      <c r="P180" s="85"/>
      <c r="Q180" s="85"/>
      <c r="R180" s="101"/>
      <c r="AG180" s="109"/>
    </row>
    <row r="181" spans="1:33" x14ac:dyDescent="0.3">
      <c r="A181" s="6"/>
      <c r="B181" s="64"/>
      <c r="R181" s="66"/>
      <c r="AG181" s="109"/>
    </row>
    <row r="182" spans="1:33" x14ac:dyDescent="0.3">
      <c r="A182" s="6"/>
      <c r="B182" s="64"/>
      <c r="R182" s="66"/>
      <c r="AG182" s="109"/>
    </row>
    <row r="183" spans="1:33" hidden="1" x14ac:dyDescent="0.3">
      <c r="A183" s="6"/>
      <c r="B183" s="64"/>
      <c r="C183" s="73" t="str">
        <f>cen.alt10</f>
        <v>Taxa de difusão em X anos: XX%</v>
      </c>
      <c r="D183" s="74"/>
      <c r="E183" s="74"/>
      <c r="F183" s="59"/>
      <c r="G183" s="59"/>
      <c r="H183" s="59"/>
      <c r="I183" s="59"/>
      <c r="J183" s="48"/>
      <c r="K183"/>
      <c r="L183"/>
      <c r="M183"/>
      <c r="N183"/>
      <c r="O183"/>
      <c r="P183"/>
      <c r="Q183"/>
      <c r="R183" s="6"/>
      <c r="AG183" s="109" t="str">
        <f>IF($C$184&gt;controle_formulario!$E$16,"Ocultar","")</f>
        <v>Ocultar</v>
      </c>
    </row>
    <row r="184" spans="1:33" hidden="1" x14ac:dyDescent="0.3">
      <c r="A184" s="6"/>
      <c r="B184" s="64"/>
      <c r="C184" s="111">
        <v>10</v>
      </c>
      <c r="D184" s="57" t="str">
        <f>trat.novo</f>
        <v>Pirtobrutinibe</v>
      </c>
      <c r="E184" s="57" t="str">
        <f>trat.a</f>
        <v xml:space="preserve"> Conjunto de Tratamentos-Padrão</v>
      </c>
      <c r="F184" s="57">
        <f>trat.b</f>
        <v>0</v>
      </c>
      <c r="G184" s="57">
        <f>trat.c</f>
        <v>0</v>
      </c>
      <c r="H184" s="57">
        <f>trat.d</f>
        <v>0</v>
      </c>
      <c r="I184" s="57" t="s">
        <v>29</v>
      </c>
      <c r="J184" s="48"/>
      <c r="K184"/>
      <c r="L184"/>
      <c r="M184"/>
      <c r="N184"/>
      <c r="O184"/>
      <c r="P184"/>
      <c r="Q184"/>
      <c r="R184" s="6"/>
      <c r="AG184" s="109" t="str">
        <f>IF($C$184&gt;controle_formulario!$E$16,"Ocultar","")</f>
        <v>Ocultar</v>
      </c>
    </row>
    <row r="185" spans="1:33" hidden="1" x14ac:dyDescent="0.3">
      <c r="A185" s="6"/>
      <c r="B185" s="64"/>
      <c r="C185" s="56" t="s">
        <v>18</v>
      </c>
      <c r="D185" s="54">
        <f ca="1">D88*OFFSET(Populacao!$I$86,'Market Share'!$AF185-1,0)</f>
        <v>0</v>
      </c>
      <c r="E185" s="54">
        <f ca="1">E88*OFFSET(Populacao!$I$86,'Market Share'!$AF185-1,0)</f>
        <v>0</v>
      </c>
      <c r="F185" s="54">
        <f ca="1">F88*OFFSET(Populacao!$I$86,'Market Share'!$AF185-1,0)</f>
        <v>0</v>
      </c>
      <c r="G185" s="54">
        <f ca="1">G88*OFFSET(Populacao!$I$86,'Market Share'!$AF185-1,0)</f>
        <v>0</v>
      </c>
      <c r="H185" s="54">
        <f ca="1">H88*OFFSET(Populacao!$I$86,'Market Share'!$AF185-1,0)</f>
        <v>0</v>
      </c>
      <c r="I185" s="54">
        <f ca="1">SUM(D185:H185)</f>
        <v>0</v>
      </c>
      <c r="J185" s="48"/>
      <c r="K185"/>
      <c r="L185"/>
      <c r="M185"/>
      <c r="N185"/>
      <c r="O185"/>
      <c r="P185"/>
      <c r="Q185"/>
      <c r="R185" s="6"/>
      <c r="AF185" s="110">
        <v>1</v>
      </c>
      <c r="AG185" s="109" t="str">
        <f>IF($C$184&gt;controle_formulario!$E$16,"Ocultar","")</f>
        <v>Ocultar</v>
      </c>
    </row>
    <row r="186" spans="1:33" hidden="1" x14ac:dyDescent="0.3">
      <c r="A186" s="6"/>
      <c r="B186" s="64"/>
      <c r="C186" s="56" t="s">
        <v>19</v>
      </c>
      <c r="D186" s="54">
        <f ca="1">D89*OFFSET(Populacao!$I$86,'Market Share'!$AF186-1,0)</f>
        <v>0</v>
      </c>
      <c r="E186" s="54">
        <f ca="1">E89*OFFSET(Populacao!$I$86,'Market Share'!$AF186-1,0)</f>
        <v>0</v>
      </c>
      <c r="F186" s="54">
        <f ca="1">F89*OFFSET(Populacao!$I$86,'Market Share'!$AF186-1,0)</f>
        <v>0</v>
      </c>
      <c r="G186" s="54">
        <f ca="1">G89*OFFSET(Populacao!$I$86,'Market Share'!$AF186-1,0)</f>
        <v>0</v>
      </c>
      <c r="H186" s="54">
        <f ca="1">H89*OFFSET(Populacao!$I$86,'Market Share'!$AF186-1,0)</f>
        <v>0</v>
      </c>
      <c r="I186" s="54">
        <f t="shared" ref="I186:I195" ca="1" si="22">SUM(D186:H186)</f>
        <v>0</v>
      </c>
      <c r="J186" s="48"/>
      <c r="K186"/>
      <c r="L186"/>
      <c r="M186"/>
      <c r="N186"/>
      <c r="O186"/>
      <c r="P186"/>
      <c r="Q186"/>
      <c r="R186" s="6"/>
      <c r="AF186" s="109">
        <v>2</v>
      </c>
      <c r="AG186" s="109" t="str">
        <f>(IF(OR(AF186&gt;controle_formulario!$I$16,$C$184&gt;controle_formulario!$E$16),"Ocultar",""))</f>
        <v>Ocultar</v>
      </c>
    </row>
    <row r="187" spans="1:33" hidden="1" x14ac:dyDescent="0.3">
      <c r="A187" s="6"/>
      <c r="B187" s="64"/>
      <c r="C187" s="56" t="s">
        <v>20</v>
      </c>
      <c r="D187" s="54">
        <f ca="1">D90*OFFSET(Populacao!$I$86,'Market Share'!$AF187-1,0)</f>
        <v>0</v>
      </c>
      <c r="E187" s="54">
        <f ca="1">E90*OFFSET(Populacao!$I$86,'Market Share'!$AF187-1,0)</f>
        <v>0</v>
      </c>
      <c r="F187" s="54">
        <f ca="1">F90*OFFSET(Populacao!$I$86,'Market Share'!$AF187-1,0)</f>
        <v>0</v>
      </c>
      <c r="G187" s="54">
        <f ca="1">G90*OFFSET(Populacao!$I$86,'Market Share'!$AF187-1,0)</f>
        <v>0</v>
      </c>
      <c r="H187" s="54">
        <f ca="1">H90*OFFSET(Populacao!$I$86,'Market Share'!$AF187-1,0)</f>
        <v>0</v>
      </c>
      <c r="I187" s="54">
        <f t="shared" ca="1" si="22"/>
        <v>0</v>
      </c>
      <c r="J187" s="48"/>
      <c r="K187"/>
      <c r="L187"/>
      <c r="M187"/>
      <c r="N187"/>
      <c r="O187"/>
      <c r="P187"/>
      <c r="Q187"/>
      <c r="R187" s="6"/>
      <c r="AF187" s="109">
        <v>3</v>
      </c>
      <c r="AG187" s="109" t="str">
        <f>(IF(OR(AF187&gt;controle_formulario!$I$16,$C$184&gt;controle_formulario!$E$16),"Ocultar",""))</f>
        <v>Ocultar</v>
      </c>
    </row>
    <row r="188" spans="1:33" hidden="1" x14ac:dyDescent="0.3">
      <c r="A188" s="6"/>
      <c r="B188" s="64"/>
      <c r="C188" s="56" t="s">
        <v>21</v>
      </c>
      <c r="D188" s="54">
        <f ca="1">D91*OFFSET(Populacao!$I$86,'Market Share'!$AF188-1,0)</f>
        <v>0</v>
      </c>
      <c r="E188" s="54">
        <f ca="1">E91*OFFSET(Populacao!$I$86,'Market Share'!$AF188-1,0)</f>
        <v>0</v>
      </c>
      <c r="F188" s="54">
        <f ca="1">F91*OFFSET(Populacao!$I$86,'Market Share'!$AF188-1,0)</f>
        <v>0</v>
      </c>
      <c r="G188" s="54">
        <f ca="1">G91*OFFSET(Populacao!$I$86,'Market Share'!$AF188-1,0)</f>
        <v>0</v>
      </c>
      <c r="H188" s="54">
        <f ca="1">H91*OFFSET(Populacao!$I$86,'Market Share'!$AF188-1,0)</f>
        <v>0</v>
      </c>
      <c r="I188" s="54">
        <f t="shared" ca="1" si="22"/>
        <v>0</v>
      </c>
      <c r="J188" s="48"/>
      <c r="K188"/>
      <c r="L188"/>
      <c r="M188"/>
      <c r="N188"/>
      <c r="O188"/>
      <c r="P188"/>
      <c r="Q188"/>
      <c r="R188" s="6"/>
      <c r="AF188" s="109">
        <v>4</v>
      </c>
      <c r="AG188" s="109" t="str">
        <f>(IF(OR(AF188&gt;controle_formulario!$I$16,$C$184&gt;controle_formulario!$E$16),"Ocultar",""))</f>
        <v>Ocultar</v>
      </c>
    </row>
    <row r="189" spans="1:33" hidden="1" x14ac:dyDescent="0.3">
      <c r="A189" s="6"/>
      <c r="B189" s="64"/>
      <c r="C189" s="56" t="s">
        <v>22</v>
      </c>
      <c r="D189" s="54">
        <f ca="1">D92*OFFSET(Populacao!$I$86,'Market Share'!$AF189-1,0)</f>
        <v>0</v>
      </c>
      <c r="E189" s="54">
        <f ca="1">E92*OFFSET(Populacao!$I$86,'Market Share'!$AF189-1,0)</f>
        <v>0</v>
      </c>
      <c r="F189" s="54">
        <f ca="1">F92*OFFSET(Populacao!$I$86,'Market Share'!$AF189-1,0)</f>
        <v>0</v>
      </c>
      <c r="G189" s="54">
        <f ca="1">G92*OFFSET(Populacao!$I$86,'Market Share'!$AF189-1,0)</f>
        <v>0</v>
      </c>
      <c r="H189" s="54">
        <f ca="1">H92*OFFSET(Populacao!$I$86,'Market Share'!$AF189-1,0)</f>
        <v>0</v>
      </c>
      <c r="I189" s="54">
        <f t="shared" ca="1" si="22"/>
        <v>0</v>
      </c>
      <c r="J189" s="48"/>
      <c r="K189"/>
      <c r="L189"/>
      <c r="M189"/>
      <c r="N189"/>
      <c r="O189"/>
      <c r="P189"/>
      <c r="Q189"/>
      <c r="R189" s="6"/>
      <c r="AF189" s="109">
        <v>5</v>
      </c>
      <c r="AG189" s="109" t="str">
        <f>(IF(OR(AF189&gt;controle_formulario!$I$16,$C$184&gt;controle_formulario!$E$16),"Ocultar",""))</f>
        <v>Ocultar</v>
      </c>
    </row>
    <row r="190" spans="1:33" hidden="1" x14ac:dyDescent="0.3">
      <c r="A190" s="6"/>
      <c r="B190" s="64"/>
      <c r="C190" s="56" t="s">
        <v>23</v>
      </c>
      <c r="D190" s="54">
        <f ca="1">D93*OFFSET(Populacao!$I$86,'Market Share'!$AF190-1,0)</f>
        <v>0</v>
      </c>
      <c r="E190" s="54">
        <f ca="1">E93*OFFSET(Populacao!$I$86,'Market Share'!$AF190-1,0)</f>
        <v>0</v>
      </c>
      <c r="F190" s="54">
        <f ca="1">F93*OFFSET(Populacao!$I$86,'Market Share'!$AF190-1,0)</f>
        <v>0</v>
      </c>
      <c r="G190" s="54">
        <f ca="1">G93*OFFSET(Populacao!$I$86,'Market Share'!$AF190-1,0)</f>
        <v>0</v>
      </c>
      <c r="H190" s="54">
        <f ca="1">H93*OFFSET(Populacao!$I$86,'Market Share'!$AF190-1,0)</f>
        <v>0</v>
      </c>
      <c r="I190" s="54">
        <f t="shared" ca="1" si="22"/>
        <v>0</v>
      </c>
      <c r="J190" s="48"/>
      <c r="K190"/>
      <c r="L190"/>
      <c r="M190"/>
      <c r="N190"/>
      <c r="O190"/>
      <c r="P190"/>
      <c r="Q190"/>
      <c r="R190" s="6"/>
      <c r="AF190" s="109">
        <v>6</v>
      </c>
      <c r="AG190" s="109" t="str">
        <f>(IF(OR(AF190&gt;controle_formulario!$I$16,$C$184&gt;controle_formulario!$E$16),"Ocultar",""))</f>
        <v>Ocultar</v>
      </c>
    </row>
    <row r="191" spans="1:33" hidden="1" x14ac:dyDescent="0.3">
      <c r="A191" s="6"/>
      <c r="B191" s="64"/>
      <c r="C191" s="56" t="s">
        <v>24</v>
      </c>
      <c r="D191" s="54">
        <f ca="1">D94*OFFSET(Populacao!$I$86,'Market Share'!$AF191-1,0)</f>
        <v>0</v>
      </c>
      <c r="E191" s="54">
        <f ca="1">E94*OFFSET(Populacao!$I$86,'Market Share'!$AF191-1,0)</f>
        <v>0</v>
      </c>
      <c r="F191" s="54">
        <f ca="1">F94*OFFSET(Populacao!$I$86,'Market Share'!$AF191-1,0)</f>
        <v>0</v>
      </c>
      <c r="G191" s="54">
        <f ca="1">G94*OFFSET(Populacao!$I$86,'Market Share'!$AF191-1,0)</f>
        <v>0</v>
      </c>
      <c r="H191" s="54">
        <f ca="1">H94*OFFSET(Populacao!$I$86,'Market Share'!$AF191-1,0)</f>
        <v>0</v>
      </c>
      <c r="I191" s="54">
        <f t="shared" ca="1" si="22"/>
        <v>0</v>
      </c>
      <c r="J191" s="48"/>
      <c r="K191"/>
      <c r="L191"/>
      <c r="M191"/>
      <c r="N191"/>
      <c r="O191"/>
      <c r="P191"/>
      <c r="Q191"/>
      <c r="R191" s="6"/>
      <c r="AF191" s="109">
        <v>7</v>
      </c>
      <c r="AG191" s="109" t="str">
        <f>(IF(OR(AF191&gt;controle_formulario!$I$16,$C$184&gt;controle_formulario!$E$16),"Ocultar",""))</f>
        <v>Ocultar</v>
      </c>
    </row>
    <row r="192" spans="1:33" hidden="1" x14ac:dyDescent="0.3">
      <c r="A192" s="6"/>
      <c r="B192" s="64"/>
      <c r="C192" s="56" t="s">
        <v>25</v>
      </c>
      <c r="D192" s="54">
        <f ca="1">D95*OFFSET(Populacao!$I$86,'Market Share'!$AF192-1,0)</f>
        <v>0</v>
      </c>
      <c r="E192" s="54">
        <f ca="1">E95*OFFSET(Populacao!$I$86,'Market Share'!$AF192-1,0)</f>
        <v>0</v>
      </c>
      <c r="F192" s="54">
        <f ca="1">F95*OFFSET(Populacao!$I$86,'Market Share'!$AF192-1,0)</f>
        <v>0</v>
      </c>
      <c r="G192" s="54">
        <f ca="1">G95*OFFSET(Populacao!$I$86,'Market Share'!$AF192-1,0)</f>
        <v>0</v>
      </c>
      <c r="H192" s="54">
        <f ca="1">H95*OFFSET(Populacao!$I$86,'Market Share'!$AF192-1,0)</f>
        <v>0</v>
      </c>
      <c r="I192" s="54">
        <f t="shared" ca="1" si="22"/>
        <v>0</v>
      </c>
      <c r="J192" s="48"/>
      <c r="K192"/>
      <c r="L192"/>
      <c r="M192"/>
      <c r="N192"/>
      <c r="O192"/>
      <c r="P192"/>
      <c r="Q192"/>
      <c r="R192" s="6"/>
      <c r="AF192" s="109">
        <v>8</v>
      </c>
      <c r="AG192" s="109" t="str">
        <f>(IF(OR(AF192&gt;controle_formulario!$I$16,$C$184&gt;controle_formulario!$E$16),"Ocultar",""))</f>
        <v>Ocultar</v>
      </c>
    </row>
    <row r="193" spans="1:33" hidden="1" x14ac:dyDescent="0.3">
      <c r="A193" s="6"/>
      <c r="B193" s="64"/>
      <c r="C193" s="56" t="s">
        <v>26</v>
      </c>
      <c r="D193" s="54">
        <f ca="1">D96*OFFSET(Populacao!$I$86,'Market Share'!$AF193-1,0)</f>
        <v>0</v>
      </c>
      <c r="E193" s="54">
        <f ca="1">E96*OFFSET(Populacao!$I$86,'Market Share'!$AF193-1,0)</f>
        <v>0</v>
      </c>
      <c r="F193" s="54">
        <f ca="1">F96*OFFSET(Populacao!$I$86,'Market Share'!$AF193-1,0)</f>
        <v>0</v>
      </c>
      <c r="G193" s="54">
        <f ca="1">G96*OFFSET(Populacao!$I$86,'Market Share'!$AF193-1,0)</f>
        <v>0</v>
      </c>
      <c r="H193" s="54">
        <f ca="1">H96*OFFSET(Populacao!$I$86,'Market Share'!$AF193-1,0)</f>
        <v>0</v>
      </c>
      <c r="I193" s="54">
        <f t="shared" ca="1" si="22"/>
        <v>0</v>
      </c>
      <c r="J193" s="48"/>
      <c r="K193"/>
      <c r="L193"/>
      <c r="M193"/>
      <c r="N193"/>
      <c r="O193"/>
      <c r="P193"/>
      <c r="Q193"/>
      <c r="R193" s="6"/>
      <c r="AF193" s="109">
        <v>9</v>
      </c>
      <c r="AG193" s="109" t="str">
        <f>(IF(OR(AF193&gt;controle_formulario!$I$16,$C$184&gt;controle_formulario!$E$16),"Ocultar",""))</f>
        <v>Ocultar</v>
      </c>
    </row>
    <row r="194" spans="1:33" hidden="1" x14ac:dyDescent="0.3">
      <c r="A194" s="6"/>
      <c r="B194" s="64"/>
      <c r="C194" s="56" t="s">
        <v>27</v>
      </c>
      <c r="D194" s="54">
        <f ca="1">D97*OFFSET(Populacao!$I$86,'Market Share'!$AF194-1,0)</f>
        <v>0</v>
      </c>
      <c r="E194" s="54">
        <f ca="1">E97*OFFSET(Populacao!$I$86,'Market Share'!$AF194-1,0)</f>
        <v>0</v>
      </c>
      <c r="F194" s="54">
        <f ca="1">F97*OFFSET(Populacao!$I$86,'Market Share'!$AF194-1,0)</f>
        <v>0</v>
      </c>
      <c r="G194" s="54">
        <f ca="1">G97*OFFSET(Populacao!$I$86,'Market Share'!$AF194-1,0)</f>
        <v>0</v>
      </c>
      <c r="H194" s="54">
        <f ca="1">H97*OFFSET(Populacao!$I$86,'Market Share'!$AF194-1,0)</f>
        <v>0</v>
      </c>
      <c r="I194" s="54">
        <f t="shared" ca="1" si="22"/>
        <v>0</v>
      </c>
      <c r="J194" s="48"/>
      <c r="K194"/>
      <c r="L194"/>
      <c r="M194"/>
      <c r="N194"/>
      <c r="O194"/>
      <c r="P194"/>
      <c r="Q194"/>
      <c r="R194" s="6"/>
      <c r="AF194" s="109">
        <v>10</v>
      </c>
      <c r="AG194" s="109" t="str">
        <f>(IF(OR(AF194&gt;controle_formulario!$I$16,$C$184&gt;controle_formulario!$E$16),"Ocultar",""))</f>
        <v>Ocultar</v>
      </c>
    </row>
    <row r="195" spans="1:33" hidden="1" x14ac:dyDescent="0.3">
      <c r="A195" s="6"/>
      <c r="B195" s="64"/>
      <c r="C195" s="56" t="s">
        <v>29</v>
      </c>
      <c r="D195" s="77">
        <f ca="1">SUM(D185:D194)</f>
        <v>0</v>
      </c>
      <c r="E195" s="77">
        <f ca="1">SUM(E185:E194)</f>
        <v>0</v>
      </c>
      <c r="F195" s="77">
        <f ca="1">SUM(F185:F194)</f>
        <v>0</v>
      </c>
      <c r="G195" s="77">
        <f ca="1">SUM(G185:G194)</f>
        <v>0</v>
      </c>
      <c r="H195" s="77">
        <f ca="1">SUM(H185:H194)</f>
        <v>0</v>
      </c>
      <c r="I195" s="77">
        <f t="shared" ca="1" si="22"/>
        <v>0</v>
      </c>
      <c r="J195" s="48"/>
      <c r="K195"/>
      <c r="L195"/>
      <c r="M195"/>
      <c r="N195"/>
      <c r="O195"/>
      <c r="P195"/>
      <c r="Q195"/>
      <c r="R195" s="6"/>
      <c r="AG195" s="109" t="str">
        <f>IF($C$184&gt;controle_formulario!$E$16,"Ocultar","")</f>
        <v>Ocultar</v>
      </c>
    </row>
    <row r="196" spans="1:33" x14ac:dyDescent="0.3">
      <c r="A196" s="114"/>
      <c r="B196" s="64"/>
      <c r="K196"/>
      <c r="L196"/>
      <c r="M196"/>
      <c r="N196"/>
      <c r="O196"/>
      <c r="P196"/>
      <c r="Q196"/>
      <c r="R196" s="6"/>
    </row>
    <row r="197" spans="1:33" x14ac:dyDescent="0.3">
      <c r="A197" s="114"/>
      <c r="B197" s="71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72"/>
    </row>
    <row r="198" spans="1:33" x14ac:dyDescent="0.3"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</row>
    <row r="199" spans="1:33" x14ac:dyDescent="0.3">
      <c r="E199" s="110">
        <v>1</v>
      </c>
      <c r="F199" s="110">
        <v>2</v>
      </c>
      <c r="G199" s="110">
        <v>3</v>
      </c>
      <c r="H199" s="110">
        <v>4</v>
      </c>
      <c r="I199" s="110"/>
      <c r="J199" s="110"/>
      <c r="K199" s="110"/>
      <c r="L199" s="110"/>
      <c r="M199" s="110">
        <v>1</v>
      </c>
      <c r="N199" s="110">
        <v>2</v>
      </c>
      <c r="O199" s="110">
        <v>3</v>
      </c>
      <c r="P199" s="110">
        <v>4</v>
      </c>
    </row>
    <row r="200" spans="1:33" x14ac:dyDescent="0.3">
      <c r="E200" s="110" t="str">
        <f>IF(E199&gt;controle_formulario!$C$10,"Ocultar","")</f>
        <v/>
      </c>
      <c r="F200" s="110" t="str">
        <f>IF(F199&gt;controle_formulario!$C$10,"Ocultar","")</f>
        <v>Ocultar</v>
      </c>
      <c r="G200" s="110" t="str">
        <f>IF(G199&gt;controle_formulario!$C$10,"Ocultar","")</f>
        <v>Ocultar</v>
      </c>
      <c r="H200" s="110" t="str">
        <f>IF(H199&gt;controle_formulario!$C$10,"Ocultar","")</f>
        <v>Ocultar</v>
      </c>
      <c r="I200" s="110"/>
      <c r="J200" s="110"/>
      <c r="K200" s="110"/>
      <c r="L200" s="110"/>
      <c r="M200" s="110" t="str">
        <f>IF(M199&gt;controle_formulario!$C$10,"Ocultar","")</f>
        <v/>
      </c>
      <c r="N200" s="110" t="str">
        <f>IF(N199&gt;controle_formulario!$C$10,"Ocultar","")</f>
        <v>Ocultar</v>
      </c>
      <c r="O200" s="110" t="str">
        <f>IF(O199&gt;controle_formulario!$C$10,"Ocultar","")</f>
        <v>Ocultar</v>
      </c>
      <c r="P200" s="110" t="str">
        <f>IF(P199&gt;controle_formulario!$C$10,"Ocultar","")</f>
        <v>Ocultar</v>
      </c>
    </row>
  </sheetData>
  <dataConsolidate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1C4084EC-CBA7-4C56-8D07-71AD51EE6385}">
            <xm:f>$K$22&gt;controle_formulario!#REF!</xm:f>
            <x14:dxf>
              <font>
                <color theme="0"/>
              </font>
              <fill>
                <patternFill>
                  <bgColor theme="0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K22:Q33 K119:Q131</xm:sqref>
        </x14:conditionalFormatting>
        <x14:conditionalFormatting xmlns:xm="http://schemas.microsoft.com/office/excel/2006/main">
          <x14:cfRule type="expression" priority="8" id="{04B3BBDD-59A0-4B75-988E-78A75827AABF}">
            <xm:f>$K$38&gt;controle_formulario!#REF!</xm:f>
            <x14:dxf>
              <font>
                <color theme="0"/>
              </font>
              <fill>
                <patternFill>
                  <bgColor theme="0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K37:Q49 K135:Q147</xm:sqref>
        </x14:conditionalFormatting>
        <x14:conditionalFormatting xmlns:xm="http://schemas.microsoft.com/office/excel/2006/main">
          <x14:cfRule type="expression" priority="10" id="{4451D8D5-2995-4582-BB16-2D58F4C12146}">
            <xm:f>$K$54&gt;controle_formulario!#REF!</xm:f>
            <x14:dxf>
              <font>
                <color theme="0"/>
              </font>
              <fill>
                <patternFill>
                  <bgColor theme="0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K53:Q65 K151:Q163</xm:sqref>
        </x14:conditionalFormatting>
        <x14:conditionalFormatting xmlns:xm="http://schemas.microsoft.com/office/excel/2006/main">
          <x14:cfRule type="expression" priority="12" id="{E269B9BB-79BE-4D26-8484-FF9063497F08}">
            <xm:f>$K$70&gt;controle_formulario!#REF!</xm:f>
            <x14:dxf>
              <font>
                <color theme="0"/>
              </font>
              <fill>
                <patternFill>
                  <fgColor theme="0"/>
                  <bgColor theme="0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K69:Q81 K167:Q179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/>
  <dimension ref="B4:AD200"/>
  <sheetViews>
    <sheetView showGridLines="0" zoomScale="90" zoomScaleNormal="90" workbookViewId="0">
      <selection activeCell="K20" sqref="K20"/>
    </sheetView>
  </sheetViews>
  <sheetFormatPr defaultColWidth="8.88671875" defaultRowHeight="14.4" x14ac:dyDescent="0.3"/>
  <cols>
    <col min="3" max="3" width="45" customWidth="1"/>
    <col min="4" max="4" width="2.109375" customWidth="1"/>
    <col min="5" max="5" width="17" customWidth="1"/>
    <col min="6" max="6" width="16.77734375" customWidth="1"/>
    <col min="7" max="7" width="16.77734375" hidden="1" customWidth="1"/>
    <col min="8" max="8" width="25.33203125" hidden="1" customWidth="1"/>
    <col min="9" max="9" width="0.109375" hidden="1" customWidth="1"/>
    <col min="10" max="10" width="1.6640625" customWidth="1"/>
    <col min="11" max="11" width="14.44140625" customWidth="1"/>
    <col min="13" max="13" width="18.33203125" bestFit="1" customWidth="1"/>
    <col min="16" max="16" width="9.44140625" bestFit="1" customWidth="1"/>
  </cols>
  <sheetData>
    <row r="4" spans="2:30" x14ac:dyDescent="0.3">
      <c r="B4" s="2"/>
      <c r="C4" s="3"/>
      <c r="D4" s="3"/>
      <c r="E4" s="3"/>
      <c r="F4" s="3"/>
      <c r="G4" s="3"/>
      <c r="H4" s="3"/>
      <c r="I4" s="3"/>
      <c r="J4" s="3"/>
      <c r="K4" s="4"/>
    </row>
    <row r="5" spans="2:30" ht="15.6" x14ac:dyDescent="0.3">
      <c r="B5" s="5"/>
      <c r="C5" s="17" t="s">
        <v>31</v>
      </c>
      <c r="D5" s="17"/>
      <c r="E5" s="8"/>
      <c r="F5" s="8"/>
      <c r="G5" s="8"/>
      <c r="H5" s="8"/>
      <c r="I5" s="8"/>
      <c r="J5" s="8"/>
      <c r="K5" s="6"/>
    </row>
    <row r="6" spans="2:30" x14ac:dyDescent="0.3">
      <c r="B6" s="5"/>
      <c r="K6" s="6"/>
    </row>
    <row r="7" spans="2:30" s="122" customFormat="1" ht="55.95" customHeight="1" x14ac:dyDescent="0.3">
      <c r="B7" s="126"/>
      <c r="E7" s="127" t="str">
        <f>trat.novo</f>
        <v>Pirtobrutinibe</v>
      </c>
      <c r="F7" s="127" t="str">
        <f>trat.a</f>
        <v xml:space="preserve"> Conjunto de Tratamentos-Padrão</v>
      </c>
      <c r="G7" s="127">
        <f>trat.b</f>
        <v>0</v>
      </c>
      <c r="H7" s="127">
        <f>trat.c</f>
        <v>0</v>
      </c>
      <c r="I7" s="127">
        <f>trat.d</f>
        <v>0</v>
      </c>
      <c r="K7" s="116"/>
      <c r="M7" s="293" t="s">
        <v>137</v>
      </c>
      <c r="N7" s="294"/>
      <c r="O7" s="294"/>
      <c r="P7" s="294"/>
      <c r="Q7" s="294"/>
      <c r="R7" s="294"/>
      <c r="S7" s="32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8"/>
    </row>
    <row r="8" spans="2:30" ht="7.5" customHeight="1" x14ac:dyDescent="0.3">
      <c r="B8" s="5"/>
      <c r="K8" s="6"/>
      <c r="M8" s="295"/>
      <c r="N8" s="296"/>
      <c r="O8" s="296"/>
      <c r="P8" s="296"/>
      <c r="Q8" s="296"/>
      <c r="R8" s="296"/>
      <c r="S8" s="324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6"/>
    </row>
    <row r="9" spans="2:30" x14ac:dyDescent="0.3">
      <c r="B9" s="5"/>
      <c r="C9" s="45" t="s">
        <v>69</v>
      </c>
      <c r="E9" s="51">
        <f>'custo por semana'!C5</f>
        <v>470468.67999999976</v>
      </c>
      <c r="F9" s="51">
        <f>'custo por semana'!K5</f>
        <v>127214.88787407997</v>
      </c>
      <c r="G9" s="51"/>
      <c r="H9" s="51"/>
      <c r="I9" s="47"/>
      <c r="K9" s="6"/>
      <c r="M9" s="295"/>
      <c r="N9" s="296"/>
      <c r="O9" s="296"/>
      <c r="P9" s="296"/>
      <c r="Q9" s="296"/>
      <c r="R9" s="296"/>
      <c r="S9" s="324"/>
    </row>
    <row r="10" spans="2:30" x14ac:dyDescent="0.3">
      <c r="B10" s="5"/>
      <c r="C10" s="49" t="s">
        <v>33</v>
      </c>
      <c r="E10" s="50">
        <v>1</v>
      </c>
      <c r="F10" s="50">
        <v>1</v>
      </c>
      <c r="G10" s="50"/>
      <c r="H10" s="50"/>
      <c r="I10" s="50"/>
      <c r="K10" s="6"/>
      <c r="M10" s="295"/>
      <c r="N10" s="296"/>
      <c r="O10" s="296"/>
      <c r="P10" s="296"/>
      <c r="Q10" s="296"/>
      <c r="R10" s="296"/>
      <c r="S10" s="324"/>
    </row>
    <row r="11" spans="2:30" x14ac:dyDescent="0.3">
      <c r="B11" s="5"/>
      <c r="C11" s="45" t="s">
        <v>69</v>
      </c>
      <c r="E11" s="51"/>
      <c r="F11" s="51"/>
      <c r="G11" s="51"/>
      <c r="H11" s="51"/>
      <c r="I11" s="47"/>
      <c r="K11" s="6"/>
      <c r="M11" s="295"/>
      <c r="N11" s="296"/>
      <c r="O11" s="296"/>
      <c r="P11" s="296"/>
      <c r="Q11" s="296"/>
      <c r="R11" s="296"/>
      <c r="S11" s="324"/>
    </row>
    <row r="12" spans="2:30" x14ac:dyDescent="0.3">
      <c r="B12" s="5"/>
      <c r="C12" s="49" t="s">
        <v>33</v>
      </c>
      <c r="E12" s="50"/>
      <c r="F12" s="50"/>
      <c r="G12" s="50"/>
      <c r="H12" s="50"/>
      <c r="I12" s="50"/>
      <c r="K12" s="6"/>
      <c r="M12" s="295"/>
      <c r="N12" s="296"/>
      <c r="O12" s="296"/>
      <c r="P12" s="296"/>
      <c r="Q12" s="296"/>
      <c r="R12" s="296"/>
      <c r="S12" s="324"/>
    </row>
    <row r="13" spans="2:30" x14ac:dyDescent="0.3">
      <c r="B13" s="5"/>
      <c r="C13" s="45" t="s">
        <v>69</v>
      </c>
      <c r="E13" s="51"/>
      <c r="F13" s="51"/>
      <c r="G13" s="51"/>
      <c r="H13" s="51"/>
      <c r="I13" s="47"/>
      <c r="K13" s="6"/>
      <c r="M13" s="298"/>
      <c r="N13" s="299"/>
      <c r="O13" s="299"/>
      <c r="P13" s="299"/>
      <c r="Q13" s="299"/>
      <c r="R13" s="299"/>
      <c r="S13" s="325"/>
    </row>
    <row r="14" spans="2:30" x14ac:dyDescent="0.3">
      <c r="B14" s="5"/>
      <c r="C14" s="49" t="s">
        <v>33</v>
      </c>
      <c r="E14" s="50"/>
      <c r="F14" s="50"/>
      <c r="G14" s="50"/>
      <c r="H14" s="50"/>
      <c r="I14" s="50"/>
      <c r="K14" s="6"/>
      <c r="P14" s="40"/>
    </row>
    <row r="15" spans="2:30" x14ac:dyDescent="0.3">
      <c r="B15" s="5"/>
      <c r="C15" s="45" t="s">
        <v>69</v>
      </c>
      <c r="E15" s="51"/>
      <c r="F15" s="51"/>
      <c r="G15" s="51"/>
      <c r="H15" s="51"/>
      <c r="I15" s="47"/>
      <c r="K15" s="6"/>
      <c r="P15" s="40"/>
    </row>
    <row r="16" spans="2:30" x14ac:dyDescent="0.3">
      <c r="B16" s="5"/>
      <c r="C16" s="48" t="s">
        <v>33</v>
      </c>
      <c r="E16" s="50"/>
      <c r="F16" s="50"/>
      <c r="G16" s="50"/>
      <c r="H16" s="50"/>
      <c r="I16" s="50"/>
      <c r="K16" s="6"/>
      <c r="P16" s="40"/>
    </row>
    <row r="17" spans="2:16" x14ac:dyDescent="0.3">
      <c r="B17" s="5"/>
      <c r="C17" s="45" t="s">
        <v>69</v>
      </c>
      <c r="E17" s="51"/>
      <c r="F17" s="51"/>
      <c r="G17" s="51"/>
      <c r="H17" s="51"/>
      <c r="I17" s="47"/>
      <c r="K17" s="6"/>
      <c r="P17" s="40"/>
    </row>
    <row r="18" spans="2:16" x14ac:dyDescent="0.3">
      <c r="B18" s="5"/>
      <c r="C18" s="48" t="s">
        <v>33</v>
      </c>
      <c r="E18" s="50"/>
      <c r="F18" s="50"/>
      <c r="G18" s="50"/>
      <c r="H18" s="50"/>
      <c r="I18" s="50"/>
      <c r="K18" s="6"/>
      <c r="P18" s="40"/>
    </row>
    <row r="19" spans="2:16" x14ac:dyDescent="0.3">
      <c r="B19" s="5"/>
      <c r="K19" s="6"/>
      <c r="M19" s="79"/>
    </row>
    <row r="20" spans="2:16" x14ac:dyDescent="0.3">
      <c r="B20" s="5"/>
      <c r="C20" t="s">
        <v>34</v>
      </c>
      <c r="E20" s="22">
        <f>E9*E10 + E11*E12 + E13*E14 + E15*E16 + E17*E18</f>
        <v>470468.67999999976</v>
      </c>
      <c r="F20" s="22">
        <f>F9*F10 + F11*F12 + F13*F14 + F15*F16 + F17*F18</f>
        <v>127214.88787407997</v>
      </c>
      <c r="G20" s="22">
        <f>G9*G10 + G11*G12 + G13*G14 + G15*G16 + G17*G18</f>
        <v>0</v>
      </c>
      <c r="H20" s="22">
        <f>H9*H10 + H11*H12 + H13*H14 + H15*H16 + H17*H18</f>
        <v>0</v>
      </c>
      <c r="I20" s="22">
        <f>I9*I10 + I11*I12 + I13*I14 + I15*I16 + I17*I18</f>
        <v>0</v>
      </c>
      <c r="K20" s="6"/>
      <c r="M20" s="79"/>
    </row>
    <row r="21" spans="2:16" x14ac:dyDescent="0.3">
      <c r="B21" s="5"/>
      <c r="K21" s="6"/>
      <c r="M21" s="129"/>
    </row>
    <row r="22" spans="2:16" x14ac:dyDescent="0.3">
      <c r="B22" s="5"/>
      <c r="K22" s="6"/>
    </row>
    <row r="23" spans="2:16" x14ac:dyDescent="0.3">
      <c r="B23" s="5"/>
      <c r="C23" s="1" t="s">
        <v>28</v>
      </c>
      <c r="D23" s="1"/>
      <c r="K23" s="6"/>
    </row>
    <row r="24" spans="2:16" ht="52.5" customHeight="1" x14ac:dyDescent="0.3">
      <c r="B24" s="5"/>
      <c r="C24" s="326" t="s">
        <v>184</v>
      </c>
      <c r="D24" s="326"/>
      <c r="E24" s="326"/>
      <c r="F24" s="326"/>
      <c r="G24" s="326"/>
      <c r="H24" s="326"/>
      <c r="I24" s="326"/>
      <c r="J24" s="326"/>
      <c r="K24" s="6"/>
    </row>
    <row r="25" spans="2:16" ht="76.5" customHeight="1" x14ac:dyDescent="0.3">
      <c r="B25" s="5"/>
      <c r="C25" s="327"/>
      <c r="D25" s="327"/>
      <c r="E25" s="327"/>
      <c r="F25" s="327"/>
      <c r="G25" s="327"/>
      <c r="H25" s="327"/>
      <c r="I25" s="327"/>
      <c r="J25" s="327"/>
      <c r="K25" s="6"/>
    </row>
    <row r="26" spans="2:16" ht="39.9" customHeight="1" x14ac:dyDescent="0.3">
      <c r="B26" s="5"/>
      <c r="C26" s="327"/>
      <c r="D26" s="327"/>
      <c r="E26" s="327"/>
      <c r="F26" s="327"/>
      <c r="G26" s="327"/>
      <c r="H26" s="327"/>
      <c r="I26" s="327"/>
      <c r="J26" s="327"/>
      <c r="K26" s="6"/>
    </row>
    <row r="27" spans="2:16" ht="39.9" customHeight="1" x14ac:dyDescent="0.3">
      <c r="B27" s="5"/>
      <c r="C27" s="327"/>
      <c r="D27" s="327"/>
      <c r="E27" s="327"/>
      <c r="F27" s="327"/>
      <c r="G27" s="115"/>
      <c r="H27" s="115"/>
      <c r="I27" s="115"/>
      <c r="J27" s="115"/>
      <c r="K27" s="6"/>
    </row>
    <row r="28" spans="2:16" ht="39.9" customHeight="1" x14ac:dyDescent="0.3">
      <c r="B28" s="5"/>
      <c r="C28" s="327"/>
      <c r="D28" s="327"/>
      <c r="E28" s="327"/>
      <c r="F28" s="327"/>
      <c r="G28" s="115"/>
      <c r="H28" s="115"/>
      <c r="I28" s="115"/>
      <c r="J28" s="115"/>
      <c r="K28" s="6"/>
    </row>
    <row r="29" spans="2:16" x14ac:dyDescent="0.3">
      <c r="B29" s="7"/>
      <c r="C29" s="8"/>
      <c r="D29" s="8"/>
      <c r="E29" s="8"/>
      <c r="F29" s="8"/>
      <c r="G29" s="8"/>
      <c r="H29" s="8"/>
      <c r="I29" s="8"/>
      <c r="J29" s="8"/>
      <c r="K29" s="9"/>
    </row>
    <row r="32" spans="2:16" x14ac:dyDescent="0.3">
      <c r="B32" s="2"/>
      <c r="C32" s="3"/>
      <c r="D32" s="3"/>
      <c r="E32" s="3"/>
      <c r="F32" s="3"/>
      <c r="G32" s="3"/>
      <c r="H32" s="3"/>
      <c r="I32" s="3"/>
      <c r="J32" s="3"/>
      <c r="K32" s="4"/>
    </row>
    <row r="33" spans="2:16" ht="15.6" x14ac:dyDescent="0.3">
      <c r="B33" s="5"/>
      <c r="C33" s="17" t="s">
        <v>32</v>
      </c>
      <c r="D33" s="17"/>
      <c r="E33" s="8"/>
      <c r="F33" s="8"/>
      <c r="G33" s="8"/>
      <c r="H33" s="8"/>
      <c r="I33" s="8"/>
      <c r="J33" s="8"/>
      <c r="K33" s="6"/>
    </row>
    <row r="34" spans="2:16" x14ac:dyDescent="0.3">
      <c r="B34" s="5"/>
      <c r="K34" s="6"/>
    </row>
    <row r="35" spans="2:16" x14ac:dyDescent="0.3">
      <c r="B35" s="5"/>
      <c r="E35" s="11" t="str">
        <f>trat.novo</f>
        <v>Pirtobrutinibe</v>
      </c>
      <c r="F35" s="11" t="str">
        <f>trat.a</f>
        <v xml:space="preserve"> Conjunto de Tratamentos-Padrão</v>
      </c>
      <c r="G35" s="11">
        <f>trat.b</f>
        <v>0</v>
      </c>
      <c r="H35" s="11">
        <f>trat.c</f>
        <v>0</v>
      </c>
      <c r="I35" s="11">
        <f>trat.d</f>
        <v>0</v>
      </c>
      <c r="K35" s="6"/>
    </row>
    <row r="36" spans="2:16" ht="7.5" customHeight="1" x14ac:dyDescent="0.3">
      <c r="B36" s="5"/>
      <c r="K36" s="6"/>
    </row>
    <row r="37" spans="2:16" x14ac:dyDescent="0.3">
      <c r="B37" s="5"/>
      <c r="C37" s="45" t="s">
        <v>69</v>
      </c>
      <c r="E37" s="47"/>
      <c r="F37" s="47"/>
      <c r="G37" s="47"/>
      <c r="H37" s="47"/>
      <c r="I37" s="47"/>
      <c r="K37" s="6"/>
    </row>
    <row r="38" spans="2:16" x14ac:dyDescent="0.3">
      <c r="B38" s="5"/>
      <c r="C38" t="s">
        <v>33</v>
      </c>
      <c r="E38" s="50"/>
      <c r="F38" s="50"/>
      <c r="G38" s="50"/>
      <c r="H38" s="50"/>
      <c r="I38" s="50"/>
      <c r="K38" s="6"/>
    </row>
    <row r="39" spans="2:16" x14ac:dyDescent="0.3">
      <c r="B39" s="5"/>
      <c r="C39" s="45" t="s">
        <v>69</v>
      </c>
      <c r="E39" s="47"/>
      <c r="F39" s="47"/>
      <c r="G39" s="47"/>
      <c r="H39" s="47"/>
      <c r="I39" s="47"/>
      <c r="K39" s="6"/>
    </row>
    <row r="40" spans="2:16" x14ac:dyDescent="0.3">
      <c r="B40" s="5"/>
      <c r="C40" t="s">
        <v>33</v>
      </c>
      <c r="E40" s="50"/>
      <c r="F40" s="50"/>
      <c r="G40" s="50"/>
      <c r="H40" s="50"/>
      <c r="I40" s="50"/>
      <c r="K40" s="6"/>
    </row>
    <row r="41" spans="2:16" x14ac:dyDescent="0.3">
      <c r="B41" s="5"/>
      <c r="C41" s="45" t="s">
        <v>69</v>
      </c>
      <c r="E41" s="47"/>
      <c r="F41" s="47"/>
      <c r="G41" s="47"/>
      <c r="H41" s="47"/>
      <c r="I41" s="47"/>
      <c r="K41" s="6"/>
      <c r="P41" s="40"/>
    </row>
    <row r="42" spans="2:16" x14ac:dyDescent="0.3">
      <c r="B42" s="5"/>
      <c r="C42" s="49" t="s">
        <v>33</v>
      </c>
      <c r="E42" s="50"/>
      <c r="F42" s="50"/>
      <c r="G42" s="50"/>
      <c r="H42" s="50"/>
      <c r="I42" s="50"/>
      <c r="K42" s="6"/>
      <c r="P42" s="40"/>
    </row>
    <row r="43" spans="2:16" x14ac:dyDescent="0.3">
      <c r="B43" s="5"/>
      <c r="C43" s="45" t="s">
        <v>69</v>
      </c>
      <c r="E43" s="47"/>
      <c r="F43" s="47"/>
      <c r="G43" s="47"/>
      <c r="H43" s="47"/>
      <c r="I43" s="47"/>
      <c r="K43" s="6"/>
      <c r="P43" s="40"/>
    </row>
    <row r="44" spans="2:16" x14ac:dyDescent="0.3">
      <c r="B44" s="5"/>
      <c r="C44" s="48" t="s">
        <v>33</v>
      </c>
      <c r="E44" s="50"/>
      <c r="F44" s="50"/>
      <c r="G44" s="50"/>
      <c r="H44" s="50"/>
      <c r="I44" s="50"/>
      <c r="K44" s="6"/>
      <c r="P44" s="40"/>
    </row>
    <row r="45" spans="2:16" x14ac:dyDescent="0.3">
      <c r="B45" s="5"/>
      <c r="C45" s="45" t="s">
        <v>69</v>
      </c>
      <c r="E45" s="47"/>
      <c r="F45" s="47"/>
      <c r="G45" s="47"/>
      <c r="H45" s="47"/>
      <c r="I45" s="47"/>
      <c r="K45" s="6"/>
      <c r="P45" s="40"/>
    </row>
    <row r="46" spans="2:16" x14ac:dyDescent="0.3">
      <c r="B46" s="5"/>
      <c r="C46" s="48" t="s">
        <v>33</v>
      </c>
      <c r="E46" s="50"/>
      <c r="F46" s="50"/>
      <c r="G46" s="50"/>
      <c r="H46" s="50"/>
      <c r="I46" s="50"/>
      <c r="K46" s="6"/>
      <c r="P46" s="40"/>
    </row>
    <row r="47" spans="2:16" x14ac:dyDescent="0.3">
      <c r="B47" s="5"/>
      <c r="H47" s="22"/>
      <c r="I47" s="22"/>
      <c r="K47" s="6"/>
    </row>
    <row r="48" spans="2:16" x14ac:dyDescent="0.3">
      <c r="B48" s="5"/>
      <c r="C48" t="s">
        <v>34</v>
      </c>
      <c r="E48" s="22">
        <f>E37*E38 + E39*E40 + E41*E42 + E43*E44 + E45*E46</f>
        <v>0</v>
      </c>
      <c r="F48" s="22">
        <f>F37*F38 + F39*F40 + F41*F42 + F43*F44 + F45*F46</f>
        <v>0</v>
      </c>
      <c r="G48" s="22">
        <f>G37*G38 + G39*G40 + G41*G42 + G43*G44 + G45*G46</f>
        <v>0</v>
      </c>
      <c r="H48" s="22">
        <f>H37*H38 + H39*H40 + H41*H42 + H43*H44 + H45*H46</f>
        <v>0</v>
      </c>
      <c r="I48" s="22">
        <f>I37*I38 + I39*I40 + I41*I42 + I43*I44 + I45*I46</f>
        <v>0</v>
      </c>
      <c r="K48" s="6"/>
    </row>
    <row r="49" spans="2:11" x14ac:dyDescent="0.3">
      <c r="B49" s="5"/>
      <c r="K49" s="6"/>
    </row>
    <row r="50" spans="2:11" x14ac:dyDescent="0.3">
      <c r="B50" s="5"/>
      <c r="K50" s="6"/>
    </row>
    <row r="51" spans="2:11" x14ac:dyDescent="0.3">
      <c r="B51" s="5"/>
      <c r="C51" s="1" t="s">
        <v>28</v>
      </c>
      <c r="D51" s="1"/>
      <c r="K51" s="6"/>
    </row>
    <row r="52" spans="2:11" ht="39.9" customHeight="1" x14ac:dyDescent="0.3">
      <c r="B52" s="5"/>
      <c r="C52" s="326"/>
      <c r="D52" s="326"/>
      <c r="E52" s="326"/>
      <c r="F52" s="326"/>
      <c r="G52" s="326"/>
      <c r="H52" s="326"/>
      <c r="I52" s="326"/>
      <c r="J52" s="326"/>
      <c r="K52" s="6"/>
    </row>
    <row r="53" spans="2:11" ht="39.9" customHeight="1" x14ac:dyDescent="0.3">
      <c r="B53" s="5"/>
      <c r="C53" s="326"/>
      <c r="D53" s="326"/>
      <c r="E53" s="326"/>
      <c r="F53" s="326"/>
      <c r="G53" s="326"/>
      <c r="H53" s="326"/>
      <c r="I53" s="326"/>
      <c r="J53" s="326"/>
      <c r="K53" s="6"/>
    </row>
    <row r="54" spans="2:11" ht="39.9" customHeight="1" x14ac:dyDescent="0.3">
      <c r="B54" s="5"/>
      <c r="C54" s="326"/>
      <c r="D54" s="326"/>
      <c r="E54" s="326"/>
      <c r="F54" s="326"/>
      <c r="G54" s="326"/>
      <c r="H54" s="326"/>
      <c r="I54" s="326"/>
      <c r="J54" s="326"/>
      <c r="K54" s="6"/>
    </row>
    <row r="55" spans="2:11" x14ac:dyDescent="0.3">
      <c r="B55" s="7"/>
      <c r="C55" s="8"/>
      <c r="D55" s="8"/>
      <c r="E55" s="8"/>
      <c r="F55" s="8"/>
      <c r="G55" s="8"/>
      <c r="H55" s="8"/>
      <c r="I55" s="8"/>
      <c r="J55" s="8"/>
      <c r="K55" s="9"/>
    </row>
    <row r="59" spans="2:11" x14ac:dyDescent="0.3">
      <c r="B59" s="2"/>
      <c r="C59" s="3"/>
      <c r="D59" s="3"/>
      <c r="E59" s="3"/>
      <c r="F59" s="3"/>
      <c r="G59" s="3"/>
      <c r="H59" s="3"/>
      <c r="I59" s="3"/>
      <c r="J59" s="3"/>
      <c r="K59" s="4"/>
    </row>
    <row r="60" spans="2:11" ht="15.6" x14ac:dyDescent="0.3">
      <c r="B60" s="5"/>
      <c r="C60" s="17" t="s">
        <v>40</v>
      </c>
      <c r="D60" s="17"/>
      <c r="E60" s="8"/>
      <c r="F60" s="8"/>
      <c r="G60" s="8"/>
      <c r="H60" s="8"/>
      <c r="I60" s="8"/>
      <c r="J60" s="8"/>
      <c r="K60" s="6"/>
    </row>
    <row r="61" spans="2:11" ht="15.6" x14ac:dyDescent="0.3">
      <c r="B61" s="5"/>
      <c r="C61" s="21"/>
      <c r="D61" s="21"/>
      <c r="K61" s="6"/>
    </row>
    <row r="62" spans="2:11" x14ac:dyDescent="0.3">
      <c r="B62" s="5"/>
      <c r="K62" s="6"/>
    </row>
    <row r="63" spans="2:11" x14ac:dyDescent="0.3">
      <c r="B63" s="5"/>
      <c r="C63" s="3"/>
      <c r="D63" s="3"/>
      <c r="E63" s="30" t="str">
        <f>trat.novo</f>
        <v>Pirtobrutinibe</v>
      </c>
      <c r="F63" s="30" t="str">
        <f>trat.a</f>
        <v xml:space="preserve"> Conjunto de Tratamentos-Padrão</v>
      </c>
      <c r="G63" s="30">
        <f>trat.b</f>
        <v>0</v>
      </c>
      <c r="H63" s="30">
        <f>trat.c</f>
        <v>0</v>
      </c>
      <c r="I63" s="30">
        <f>trat.d</f>
        <v>0</v>
      </c>
      <c r="K63" s="6"/>
    </row>
    <row r="64" spans="2:11" ht="4.5" customHeight="1" x14ac:dyDescent="0.3">
      <c r="B64" s="5"/>
      <c r="E64" s="11"/>
      <c r="F64" s="11"/>
      <c r="G64" s="11"/>
      <c r="H64" s="11"/>
      <c r="I64" s="11"/>
      <c r="K64" s="6"/>
    </row>
    <row r="65" spans="2:11" x14ac:dyDescent="0.3">
      <c r="B65" s="5"/>
      <c r="C65" t="s">
        <v>31</v>
      </c>
      <c r="E65" s="22">
        <f>E20</f>
        <v>470468.67999999976</v>
      </c>
      <c r="F65" s="22">
        <f>F20</f>
        <v>127214.88787407997</v>
      </c>
      <c r="G65" s="22">
        <f>G20</f>
        <v>0</v>
      </c>
      <c r="H65" s="22">
        <f>H20</f>
        <v>0</v>
      </c>
      <c r="I65" s="22">
        <f>I20</f>
        <v>0</v>
      </c>
      <c r="K65" s="6"/>
    </row>
    <row r="66" spans="2:11" x14ac:dyDescent="0.3">
      <c r="B66" s="5"/>
      <c r="C66" t="s">
        <v>32</v>
      </c>
      <c r="E66" s="22">
        <f>E48</f>
        <v>0</v>
      </c>
      <c r="F66" s="22">
        <f>F48</f>
        <v>0</v>
      </c>
      <c r="G66" s="22">
        <f>G48</f>
        <v>0</v>
      </c>
      <c r="H66" s="22">
        <f>H48</f>
        <v>0</v>
      </c>
      <c r="I66" s="22">
        <f>I48</f>
        <v>0</v>
      </c>
      <c r="K66" s="6"/>
    </row>
    <row r="67" spans="2:11" x14ac:dyDescent="0.3">
      <c r="B67" s="5"/>
      <c r="C67" s="8" t="s">
        <v>35</v>
      </c>
      <c r="D67" s="8"/>
      <c r="E67" s="31">
        <f>SUM(E65,E66)</f>
        <v>470468.67999999976</v>
      </c>
      <c r="F67" s="31">
        <f>SUM(F65,F66)</f>
        <v>127214.88787407997</v>
      </c>
      <c r="G67" s="31">
        <f>SUM(G65,G66)</f>
        <v>0</v>
      </c>
      <c r="H67" s="31">
        <f>SUM(H65,H66)</f>
        <v>0</v>
      </c>
      <c r="I67" s="31">
        <f>SUM(I65,I66)</f>
        <v>0</v>
      </c>
      <c r="K67" s="6"/>
    </row>
    <row r="68" spans="2:11" x14ac:dyDescent="0.3">
      <c r="B68" s="5"/>
      <c r="E68" s="12"/>
      <c r="F68" s="12"/>
      <c r="G68" s="12"/>
      <c r="H68" s="12"/>
      <c r="I68" s="12"/>
      <c r="K68" s="6"/>
    </row>
    <row r="69" spans="2:11" x14ac:dyDescent="0.3">
      <c r="B69" s="7"/>
      <c r="C69" s="8"/>
      <c r="D69" s="8"/>
      <c r="E69" s="8"/>
      <c r="F69" s="8"/>
      <c r="G69" s="8"/>
      <c r="H69" s="8"/>
      <c r="I69" s="8"/>
      <c r="J69" s="8"/>
      <c r="K69" s="9"/>
    </row>
    <row r="199" spans="6:9" x14ac:dyDescent="0.3">
      <c r="F199" s="110">
        <v>1</v>
      </c>
      <c r="G199" s="110">
        <v>2</v>
      </c>
      <c r="H199" s="110">
        <v>3</v>
      </c>
      <c r="I199" s="110">
        <v>4</v>
      </c>
    </row>
    <row r="200" spans="6:9" x14ac:dyDescent="0.3">
      <c r="F200" s="110" t="str">
        <f>IF(F199&gt;controle_formulario!$C$10,"Ocultar","")</f>
        <v/>
      </c>
      <c r="G200" s="110" t="str">
        <f>IF(G199&gt;controle_formulario!$C$10,"Ocultar","")</f>
        <v>Ocultar</v>
      </c>
      <c r="H200" s="110" t="str">
        <f>IF(H199&gt;controle_formulario!$C$10,"Ocultar","")</f>
        <v>Ocultar</v>
      </c>
      <c r="I200" s="110" t="str">
        <f>IF(I199&gt;controle_formulario!$C$10,"Ocultar","")</f>
        <v>Ocultar</v>
      </c>
    </row>
  </sheetData>
  <scenarios current="0" show="0" sqref="D65">
    <scenario name="li" locked="1" count="1" user="Autor">
      <inputCells r="E9" val="55,231012" numFmtId="44"/>
    </scenario>
    <scenario name="ls" locked="1" count="1" user="Autor">
      <inputCells r="E9" val="90" numFmtId="44"/>
    </scenario>
  </scenarios>
  <mergeCells count="9">
    <mergeCell ref="M7:S13"/>
    <mergeCell ref="C52:J52"/>
    <mergeCell ref="C53:J53"/>
    <mergeCell ref="C54:J54"/>
    <mergeCell ref="C24:J24"/>
    <mergeCell ref="C27:F27"/>
    <mergeCell ref="C28:F28"/>
    <mergeCell ref="C25:J25"/>
    <mergeCell ref="C26:J2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7"/>
  <dimension ref="B1:AG200"/>
  <sheetViews>
    <sheetView showGridLines="0" zoomScale="80" zoomScaleNormal="80" workbookViewId="0">
      <selection activeCell="U18" sqref="U18"/>
    </sheetView>
  </sheetViews>
  <sheetFormatPr defaultColWidth="8.88671875" defaultRowHeight="14.4" x14ac:dyDescent="0.3"/>
  <cols>
    <col min="2" max="2" width="2.44140625" customWidth="1"/>
    <col min="3" max="3" width="7.33203125" customWidth="1"/>
    <col min="4" max="4" width="20.5546875" bestFit="1" customWidth="1"/>
    <col min="5" max="5" width="22.77734375" customWidth="1"/>
    <col min="6" max="6" width="17.109375" hidden="1" customWidth="1"/>
    <col min="7" max="7" width="18.77734375" hidden="1" customWidth="1"/>
    <col min="8" max="8" width="19.44140625" hidden="1" customWidth="1"/>
    <col min="9" max="9" width="22.88671875" bestFit="1" customWidth="1"/>
    <col min="12" max="12" width="22.88671875" bestFit="1" customWidth="1"/>
    <col min="13" max="13" width="21.5546875" customWidth="1"/>
    <col min="14" max="14" width="20.44140625" hidden="1" customWidth="1"/>
    <col min="15" max="15" width="19.33203125" hidden="1" customWidth="1"/>
    <col min="16" max="16" width="0.5546875" customWidth="1"/>
    <col min="17" max="17" width="22.88671875" bestFit="1" customWidth="1"/>
    <col min="32" max="32" width="6.109375" style="56" customWidth="1"/>
    <col min="33" max="33" width="8.88671875" style="110"/>
  </cols>
  <sheetData>
    <row r="1" spans="2:33" ht="71.25" customHeight="1" x14ac:dyDescent="0.3">
      <c r="L1" s="162" t="s">
        <v>79</v>
      </c>
      <c r="M1" s="163" t="s">
        <v>136</v>
      </c>
      <c r="N1" s="154"/>
      <c r="O1" s="154"/>
      <c r="P1" s="154"/>
    </row>
    <row r="2" spans="2:33" ht="48" customHeight="1" x14ac:dyDescent="0.3">
      <c r="L2" s="164">
        <v>1</v>
      </c>
      <c r="M2" s="164">
        <v>1</v>
      </c>
      <c r="N2" s="154"/>
      <c r="O2" s="154"/>
      <c r="P2" s="154"/>
    </row>
    <row r="3" spans="2:33" s="56" customFormat="1" ht="81.75" customHeight="1" x14ac:dyDescent="0.3">
      <c r="J3" s="161"/>
      <c r="L3" s="328" t="s">
        <v>138</v>
      </c>
      <c r="M3" s="329"/>
      <c r="N3" s="160"/>
      <c r="O3" s="154"/>
      <c r="P3" s="154"/>
      <c r="AG3" s="110"/>
    </row>
    <row r="4" spans="2:33" x14ac:dyDescent="0.3">
      <c r="B4" s="2"/>
      <c r="C4" s="3"/>
      <c r="D4" s="3"/>
      <c r="E4" s="3"/>
      <c r="F4" s="3"/>
      <c r="G4" s="3"/>
      <c r="H4" s="3"/>
      <c r="I4" s="3"/>
      <c r="J4" s="99"/>
      <c r="K4" s="3"/>
      <c r="N4" s="3"/>
      <c r="O4" s="3"/>
      <c r="P4" s="3"/>
      <c r="Q4" s="3"/>
      <c r="R4" s="4"/>
    </row>
    <row r="5" spans="2:33" ht="15.6" x14ac:dyDescent="0.3">
      <c r="B5" s="5"/>
      <c r="C5" s="17" t="str">
        <f>cen.ref</f>
        <v>Sem pirtobrutinibe</v>
      </c>
      <c r="D5" s="28"/>
      <c r="E5" s="28"/>
      <c r="F5" s="8"/>
      <c r="G5" s="8"/>
      <c r="H5" s="8"/>
      <c r="I5" s="8"/>
      <c r="J5" s="48"/>
      <c r="K5" s="73" t="str">
        <f>cen.alt1</f>
        <v>Incorporação progressiva- pirtobrutinibe</v>
      </c>
      <c r="L5" s="28"/>
      <c r="M5" s="28"/>
      <c r="N5" s="8"/>
      <c r="O5" s="8"/>
      <c r="P5" s="8"/>
      <c r="Q5" s="8"/>
      <c r="R5" s="6"/>
    </row>
    <row r="6" spans="2:33" ht="10.5" customHeight="1" x14ac:dyDescent="0.3">
      <c r="B6" s="5"/>
      <c r="C6" s="1"/>
      <c r="D6" s="16"/>
      <c r="E6" s="16"/>
      <c r="J6" s="48"/>
      <c r="K6" s="1"/>
      <c r="L6" s="16"/>
      <c r="M6" s="16"/>
      <c r="R6" s="6"/>
    </row>
    <row r="7" spans="2:33" ht="48" customHeight="1" x14ac:dyDescent="0.3">
      <c r="B7" s="5"/>
      <c r="C7" s="56"/>
      <c r="D7" s="119" t="str">
        <f>trat.novo</f>
        <v>Pirtobrutinibe</v>
      </c>
      <c r="E7" s="119" t="str">
        <f>trat.a</f>
        <v xml:space="preserve"> Conjunto de Tratamentos-Padrão</v>
      </c>
      <c r="F7" s="57">
        <f>trat.b</f>
        <v>0</v>
      </c>
      <c r="G7" s="57">
        <f>trat.c</f>
        <v>0</v>
      </c>
      <c r="H7" s="57">
        <f>trat.d</f>
        <v>0</v>
      </c>
      <c r="I7" s="57" t="s">
        <v>29</v>
      </c>
      <c r="J7" s="48"/>
      <c r="K7" s="56"/>
      <c r="L7" s="119" t="str">
        <f>trat.novo</f>
        <v>Pirtobrutinibe</v>
      </c>
      <c r="M7" s="119" t="str">
        <f>trat.a</f>
        <v xml:space="preserve"> Conjunto de Tratamentos-Padrão</v>
      </c>
      <c r="N7" s="57">
        <f>trat.b</f>
        <v>0</v>
      </c>
      <c r="O7" s="57">
        <f>trat.c</f>
        <v>0</v>
      </c>
      <c r="P7" s="57">
        <f>trat.d</f>
        <v>0</v>
      </c>
      <c r="Q7" s="57" t="s">
        <v>29</v>
      </c>
      <c r="R7" s="6"/>
    </row>
    <row r="8" spans="2:33" x14ac:dyDescent="0.3">
      <c r="B8" s="5"/>
      <c r="C8" s="56" t="s">
        <v>18</v>
      </c>
      <c r="D8" s="58">
        <f ca="1">('Market Share'!D105*$L$2)*(c.total.nova*$M$2)</f>
        <v>0</v>
      </c>
      <c r="E8" s="58">
        <f ca="1">('Market Share'!E105*$L$2)*(c.total.a*1)</f>
        <v>4110544.4385289042</v>
      </c>
      <c r="F8" s="58">
        <f ca="1">('Market Share'!F105*$L$2)*(c.total.b*1)</f>
        <v>0</v>
      </c>
      <c r="G8" s="58">
        <f ca="1">('Market Share'!G105*$L$2)*(c.total.c*1)</f>
        <v>0</v>
      </c>
      <c r="H8" s="58">
        <f ca="1">('Market Share'!H105*$L$2)*(c.total.d*1)</f>
        <v>0</v>
      </c>
      <c r="I8" s="58">
        <f ca="1">SUM(D8:H8)</f>
        <v>4110544.4385289042</v>
      </c>
      <c r="J8" s="48"/>
      <c r="K8" s="56" t="s">
        <v>18</v>
      </c>
      <c r="L8" s="58">
        <f ca="1">('Market Share'!L105*$L$2)*(c.total.nova*$M$2)</f>
        <v>11823543.55842343</v>
      </c>
      <c r="M8" s="58">
        <f ca="1">('Market Share'!M105*$L$2)*(c.total.a*1)</f>
        <v>1370181.4795096347</v>
      </c>
      <c r="N8" s="58">
        <f ca="1">('Market Share'!N105*$L$2)*(c.total.b*1)</f>
        <v>0</v>
      </c>
      <c r="O8" s="58">
        <f ca="1">('Market Share'!O105*$L$2)*(c.total.c*1)</f>
        <v>0</v>
      </c>
      <c r="P8" s="58">
        <f ca="1">('Market Share'!P105*$L$2)*(c.total.d*1)</f>
        <v>0</v>
      </c>
      <c r="Q8" s="58">
        <f ca="1">SUM(L8:P8)</f>
        <v>13193725.037933065</v>
      </c>
      <c r="R8" s="6"/>
      <c r="AF8" s="109"/>
      <c r="AG8" s="109"/>
    </row>
    <row r="9" spans="2:33" x14ac:dyDescent="0.3">
      <c r="B9" s="5"/>
      <c r="C9" s="56" t="s">
        <v>19</v>
      </c>
      <c r="D9" s="58">
        <f ca="1">('Market Share'!D106*$L$2)*(c.total.nova*$M$2)</f>
        <v>0</v>
      </c>
      <c r="E9" s="58">
        <f ca="1">('Market Share'!E106*$L$2)*(c.total.a*1)</f>
        <v>4124866.8092641174</v>
      </c>
      <c r="F9" s="58">
        <f ca="1">('Market Share'!F106*$L$2)*(c.total.b*1)</f>
        <v>0</v>
      </c>
      <c r="G9" s="58">
        <f ca="1">('Market Share'!G106*$L$2)*(c.total.c*1)</f>
        <v>0</v>
      </c>
      <c r="H9" s="58">
        <f ca="1">('Market Share'!H106*$L$2)*(c.total.d*1)</f>
        <v>0</v>
      </c>
      <c r="I9" s="58">
        <f t="shared" ref="I9:I17" ca="1" si="0">SUM(D9:H9)</f>
        <v>4124866.8092641174</v>
      </c>
      <c r="J9" s="48"/>
      <c r="K9" s="56" t="s">
        <v>19</v>
      </c>
      <c r="L9" s="58">
        <f ca="1">('Market Share'!L106*$L$2)*(c.total.nova*$M$2)</f>
        <v>12712221.785781134</v>
      </c>
      <c r="M9" s="58">
        <f ca="1">('Market Share'!M106*$L$2)*(c.total.a*1)</f>
        <v>1145796.3359066993</v>
      </c>
      <c r="N9" s="58">
        <f ca="1">('Market Share'!N106*$L$2)*(c.total.b*1)</f>
        <v>0</v>
      </c>
      <c r="O9" s="58">
        <f ca="1">('Market Share'!O106*$L$2)*(c.total.c*1)</f>
        <v>0</v>
      </c>
      <c r="P9" s="58">
        <f ca="1">('Market Share'!P106*$L$2)*(c.total.d*1)</f>
        <v>0</v>
      </c>
      <c r="Q9" s="58">
        <f t="shared" ref="Q9:Q17" ca="1" si="1">SUM(L9:P9)</f>
        <v>13858018.121687833</v>
      </c>
      <c r="R9" s="6"/>
      <c r="AF9" s="109">
        <v>2</v>
      </c>
      <c r="AG9" s="109" t="str">
        <f>(IF(AF9&gt;controle_formulario!$I$16,"Ocultar",""))</f>
        <v/>
      </c>
    </row>
    <row r="10" spans="2:33" x14ac:dyDescent="0.3">
      <c r="B10" s="5"/>
      <c r="C10" s="56" t="s">
        <v>20</v>
      </c>
      <c r="D10" s="58">
        <f ca="1">('Market Share'!D107*$L$2)*(c.total.nova*$M$2)</f>
        <v>0</v>
      </c>
      <c r="E10" s="58">
        <f ca="1">('Market Share'!E107*$L$2)*(c.total.a*1)</f>
        <v>4138105.4151356164</v>
      </c>
      <c r="F10" s="58">
        <f ca="1">('Market Share'!F107*$L$2)*(c.total.b*1)</f>
        <v>0</v>
      </c>
      <c r="G10" s="58">
        <f ca="1">('Market Share'!G107*$L$2)*(c.total.c*1)</f>
        <v>0</v>
      </c>
      <c r="H10" s="58">
        <f ca="1">('Market Share'!H107*$L$2)*(c.total.d*1)</f>
        <v>0</v>
      </c>
      <c r="I10" s="58">
        <f t="shared" ca="1" si="0"/>
        <v>4138105.4151356164</v>
      </c>
      <c r="J10" s="48"/>
      <c r="K10" s="56" t="s">
        <v>20</v>
      </c>
      <c r="L10" s="58">
        <f ca="1">('Market Share'!L107*$L$2)*(c.total.nova*$M$2)</f>
        <v>13603222.598961756</v>
      </c>
      <c r="M10" s="58">
        <f ca="1">('Market Share'!M107*$L$2)*(c.total.a*1)</f>
        <v>919578.98114124802</v>
      </c>
      <c r="N10" s="58">
        <f ca="1">('Market Share'!N107*$L$2)*(c.total.b*1)</f>
        <v>0</v>
      </c>
      <c r="O10" s="58">
        <f ca="1">('Market Share'!O107*$L$2)*(c.total.c*1)</f>
        <v>0</v>
      </c>
      <c r="P10" s="58">
        <f ca="1">('Market Share'!P107*$L$2)*(c.total.d*1)</f>
        <v>0</v>
      </c>
      <c r="Q10" s="58">
        <f t="shared" ca="1" si="1"/>
        <v>14522801.580103004</v>
      </c>
      <c r="R10" s="6"/>
      <c r="AF10" s="109">
        <v>3</v>
      </c>
      <c r="AG10" s="109" t="str">
        <f>(IF(AF10&gt;controle_formulario!$I$16,"Ocultar",""))</f>
        <v/>
      </c>
    </row>
    <row r="11" spans="2:33" x14ac:dyDescent="0.3">
      <c r="B11" s="5"/>
      <c r="C11" s="56" t="s">
        <v>21</v>
      </c>
      <c r="D11" s="58">
        <f ca="1">('Market Share'!D108*$L$2)*(c.total.nova*$M$2)</f>
        <v>0</v>
      </c>
      <c r="E11" s="58">
        <f ca="1">('Market Share'!E108*$L$2)*(c.total.a*1)</f>
        <v>4150388.9087994657</v>
      </c>
      <c r="F11" s="58">
        <f ca="1">('Market Share'!F108*$L$2)*(c.total.b*1)</f>
        <v>0</v>
      </c>
      <c r="G11" s="58">
        <f ca="1">('Market Share'!G108*$L$2)*(c.total.c*1)</f>
        <v>0</v>
      </c>
      <c r="H11" s="58">
        <f ca="1">('Market Share'!H108*$L$2)*(c.total.d*1)</f>
        <v>0</v>
      </c>
      <c r="I11" s="58">
        <f t="shared" ca="1" si="0"/>
        <v>4150388.9087994657</v>
      </c>
      <c r="J11" s="48"/>
      <c r="K11" s="56" t="s">
        <v>21</v>
      </c>
      <c r="L11" s="58">
        <f ca="1">('Market Share'!L108*$L$2)*(c.total.nova*$M$2)</f>
        <v>14496327.35107873</v>
      </c>
      <c r="M11" s="58">
        <f ca="1">('Market Share'!M108*$L$2)*(c.total.a*1)</f>
        <v>691731.48479991092</v>
      </c>
      <c r="N11" s="58">
        <f ca="1">('Market Share'!N108*$L$2)*(c.total.b*1)</f>
        <v>0</v>
      </c>
      <c r="O11" s="58">
        <f ca="1">('Market Share'!O108*$L$2)*(c.total.c*1)</f>
        <v>0</v>
      </c>
      <c r="P11" s="58">
        <f ca="1">('Market Share'!P108*$L$2)*(c.total.d*1)</f>
        <v>0</v>
      </c>
      <c r="Q11" s="58">
        <f t="shared" ca="1" si="1"/>
        <v>15188058.83587864</v>
      </c>
      <c r="R11" s="6"/>
      <c r="AF11" s="109">
        <v>4</v>
      </c>
      <c r="AG11" s="109" t="str">
        <f>(IF(AF11&gt;controle_formulario!$I$16,"Ocultar",""))</f>
        <v/>
      </c>
    </row>
    <row r="12" spans="2:33" x14ac:dyDescent="0.3">
      <c r="B12" s="5"/>
      <c r="C12" s="56" t="s">
        <v>22</v>
      </c>
      <c r="D12" s="58">
        <f ca="1">('Market Share'!D109*$L$2)*(c.total.nova*$M$2)</f>
        <v>0</v>
      </c>
      <c r="E12" s="58">
        <f ca="1">('Market Share'!E109*$L$2)*(c.total.a*1)</f>
        <v>4161902.8822933384</v>
      </c>
      <c r="F12" s="58">
        <f ca="1">('Market Share'!F109*$L$2)*(c.total.b*1)</f>
        <v>0</v>
      </c>
      <c r="G12" s="58">
        <f ca="1">('Market Share'!G109*$L$2)*(c.total.c*1)</f>
        <v>0</v>
      </c>
      <c r="H12" s="58">
        <f ca="1">('Market Share'!H109*$L$2)*(c.total.d*1)</f>
        <v>0</v>
      </c>
      <c r="I12" s="58">
        <f t="shared" ca="1" si="0"/>
        <v>4161902.8822933384</v>
      </c>
      <c r="J12" s="48"/>
      <c r="K12" s="56" t="s">
        <v>22</v>
      </c>
      <c r="L12" s="58">
        <f ca="1">('Market Share'!L109*$L$2)*(c.total.nova*$M$2)</f>
        <v>15391633.699813943</v>
      </c>
      <c r="M12" s="58">
        <f ca="1">('Market Share'!M109*$L$2)*(c.total.a*1)</f>
        <v>462433.65358814877</v>
      </c>
      <c r="N12" s="58">
        <f ca="1">('Market Share'!N109*$L$2)*(c.total.b*1)</f>
        <v>0</v>
      </c>
      <c r="O12" s="58">
        <f ca="1">('Market Share'!O109*$L$2)*(c.total.c*1)</f>
        <v>0</v>
      </c>
      <c r="P12" s="58">
        <f ca="1">('Market Share'!P109*$L$2)*(c.total.d*1)</f>
        <v>0</v>
      </c>
      <c r="Q12" s="58">
        <f t="shared" ca="1" si="1"/>
        <v>15854067.353402093</v>
      </c>
      <c r="R12" s="6"/>
      <c r="AF12" s="109">
        <v>5</v>
      </c>
      <c r="AG12" s="109" t="str">
        <f>(IF(AF12&gt;controle_formulario!$I$16,"Ocultar",""))</f>
        <v/>
      </c>
    </row>
    <row r="13" spans="2:33" hidden="1" x14ac:dyDescent="0.3">
      <c r="B13" s="5"/>
      <c r="C13" s="56" t="s">
        <v>23</v>
      </c>
      <c r="D13" s="58">
        <f ca="1">('Market Share'!D110*$L$2)*(c.total.nova*$M$2)</f>
        <v>0</v>
      </c>
      <c r="E13" s="58">
        <f ca="1">('Market Share'!E110*$L$2)*(c.total.a*1)</f>
        <v>0</v>
      </c>
      <c r="F13" s="58">
        <f ca="1">('Market Share'!F110*$L$2)*(c.total.b*1)</f>
        <v>0</v>
      </c>
      <c r="G13" s="58">
        <f ca="1">('Market Share'!G110*$L$2)*(c.total.c*1)</f>
        <v>0</v>
      </c>
      <c r="H13" s="58">
        <f ca="1">('Market Share'!H110*$L$2)*(c.total.d*1)</f>
        <v>0</v>
      </c>
      <c r="I13" s="58">
        <f t="shared" ca="1" si="0"/>
        <v>0</v>
      </c>
      <c r="J13" s="48"/>
      <c r="K13" s="56" t="s">
        <v>23</v>
      </c>
      <c r="L13" s="58">
        <f ca="1">('Market Share'!L110*$L$2)*(c.total.nova*$M$2)</f>
        <v>0</v>
      </c>
      <c r="M13" s="58">
        <f ca="1">('Market Share'!M110*$L$2)*(c.total.a*1)</f>
        <v>0</v>
      </c>
      <c r="N13" s="58">
        <f ca="1">('Market Share'!N110*$L$2)*(c.total.b*1)</f>
        <v>0</v>
      </c>
      <c r="O13" s="58">
        <f ca="1">('Market Share'!O110*$L$2)*(c.total.c*1)</f>
        <v>0</v>
      </c>
      <c r="P13" s="58">
        <f ca="1">('Market Share'!P110*$L$2)*(c.total.d*1)</f>
        <v>0</v>
      </c>
      <c r="Q13" s="58">
        <f t="shared" ca="1" si="1"/>
        <v>0</v>
      </c>
      <c r="R13" s="6"/>
      <c r="AF13" s="109">
        <v>6</v>
      </c>
      <c r="AG13" s="109" t="str">
        <f>(IF(AF13&gt;controle_formulario!$I$16,"Ocultar",""))</f>
        <v>Ocultar</v>
      </c>
    </row>
    <row r="14" spans="2:33" hidden="1" x14ac:dyDescent="0.3">
      <c r="B14" s="5"/>
      <c r="C14" s="56" t="s">
        <v>24</v>
      </c>
      <c r="D14" s="58">
        <f ca="1">('Market Share'!D111*$L$2)*(c.total.nova*$M$2)</f>
        <v>0</v>
      </c>
      <c r="E14" s="58">
        <f ca="1">('Market Share'!E111*$L$2)*(c.total.a*1)</f>
        <v>0</v>
      </c>
      <c r="F14" s="58">
        <f ca="1">('Market Share'!F111*$L$2)*(c.total.b*1)</f>
        <v>0</v>
      </c>
      <c r="G14" s="58">
        <f ca="1">('Market Share'!G111*$L$2)*(c.total.c*1)</f>
        <v>0</v>
      </c>
      <c r="H14" s="58">
        <f ca="1">('Market Share'!H111*$L$2)*(c.total.d*1)</f>
        <v>0</v>
      </c>
      <c r="I14" s="58">
        <f t="shared" ca="1" si="0"/>
        <v>0</v>
      </c>
      <c r="J14" s="48"/>
      <c r="K14" s="56" t="s">
        <v>24</v>
      </c>
      <c r="L14" s="58">
        <f ca="1">('Market Share'!L111*$L$2)*(c.total.nova*$M$2)</f>
        <v>0</v>
      </c>
      <c r="M14" s="58">
        <f ca="1">('Market Share'!M111*$L$2)*(c.total.a*1)</f>
        <v>0</v>
      </c>
      <c r="N14" s="58">
        <f ca="1">('Market Share'!N111*$L$2)*(c.total.b*1)</f>
        <v>0</v>
      </c>
      <c r="O14" s="58">
        <f ca="1">('Market Share'!O111*$L$2)*(c.total.c*1)</f>
        <v>0</v>
      </c>
      <c r="P14" s="58">
        <f ca="1">('Market Share'!P111*$L$2)*(c.total.d*1)</f>
        <v>0</v>
      </c>
      <c r="Q14" s="58">
        <f t="shared" ca="1" si="1"/>
        <v>0</v>
      </c>
      <c r="R14" s="6"/>
      <c r="AF14" s="109">
        <v>7</v>
      </c>
      <c r="AG14" s="109" t="str">
        <f>(IF(AF14&gt;controle_formulario!$I$16,"Ocultar",""))</f>
        <v>Ocultar</v>
      </c>
    </row>
    <row r="15" spans="2:33" hidden="1" x14ac:dyDescent="0.3">
      <c r="B15" s="5"/>
      <c r="C15" s="56" t="s">
        <v>25</v>
      </c>
      <c r="D15" s="58">
        <f ca="1">('Market Share'!D112*$L$2)*(c.total.nova*$M$2)</f>
        <v>0</v>
      </c>
      <c r="E15" s="58">
        <f ca="1">('Market Share'!E112*$L$2)*(c.total.a*1)</f>
        <v>0</v>
      </c>
      <c r="F15" s="58">
        <f ca="1">('Market Share'!F112*$L$2)*(c.total.b*1)</f>
        <v>0</v>
      </c>
      <c r="G15" s="58">
        <f ca="1">('Market Share'!G112*$L$2)*(c.total.c*1)</f>
        <v>0</v>
      </c>
      <c r="H15" s="58">
        <f ca="1">('Market Share'!H112*$L$2)*(c.total.d*1)</f>
        <v>0</v>
      </c>
      <c r="I15" s="58">
        <f t="shared" ca="1" si="0"/>
        <v>0</v>
      </c>
      <c r="J15" s="48"/>
      <c r="K15" s="56" t="s">
        <v>25</v>
      </c>
      <c r="L15" s="58">
        <f ca="1">('Market Share'!L112*$L$2)*(c.total.nova*$M$2)</f>
        <v>0</v>
      </c>
      <c r="M15" s="58">
        <f ca="1">('Market Share'!M112*$L$2)*(c.total.a*1)</f>
        <v>0</v>
      </c>
      <c r="N15" s="58">
        <f ca="1">('Market Share'!N112*$L$2)*(c.total.b*1)</f>
        <v>0</v>
      </c>
      <c r="O15" s="58">
        <f ca="1">('Market Share'!O112*$L$2)*(c.total.c*1)</f>
        <v>0</v>
      </c>
      <c r="P15" s="58">
        <f ca="1">('Market Share'!P112*$L$2)*(c.total.d*1)</f>
        <v>0</v>
      </c>
      <c r="Q15" s="58">
        <f t="shared" ca="1" si="1"/>
        <v>0</v>
      </c>
      <c r="R15" s="6"/>
      <c r="AF15" s="109">
        <v>8</v>
      </c>
      <c r="AG15" s="109" t="str">
        <f>(IF(AF15&gt;controle_formulario!$I$16,"Ocultar",""))</f>
        <v>Ocultar</v>
      </c>
    </row>
    <row r="16" spans="2:33" hidden="1" x14ac:dyDescent="0.3">
      <c r="B16" s="5"/>
      <c r="C16" s="56" t="s">
        <v>26</v>
      </c>
      <c r="D16" s="58">
        <f ca="1">('Market Share'!D113*$L$2)*(c.total.nova*$M$2)</f>
        <v>0</v>
      </c>
      <c r="E16" s="58">
        <f ca="1">('Market Share'!E113*$L$2)*(c.total.a*1)</f>
        <v>0</v>
      </c>
      <c r="F16" s="58">
        <f ca="1">('Market Share'!F113*$L$2)*(c.total.b*1)</f>
        <v>0</v>
      </c>
      <c r="G16" s="58">
        <f ca="1">('Market Share'!G113*$L$2)*(c.total.c*1)</f>
        <v>0</v>
      </c>
      <c r="H16" s="58">
        <f ca="1">('Market Share'!H113*$L$2)*(c.total.d*1)</f>
        <v>0</v>
      </c>
      <c r="I16" s="58">
        <f t="shared" ca="1" si="0"/>
        <v>0</v>
      </c>
      <c r="J16" s="48"/>
      <c r="K16" s="56" t="s">
        <v>26</v>
      </c>
      <c r="L16" s="58">
        <f ca="1">('Market Share'!L113*$L$2)*(c.total.nova*$M$2)</f>
        <v>0</v>
      </c>
      <c r="M16" s="58">
        <f ca="1">('Market Share'!M113*$L$2)*(c.total.a*1)</f>
        <v>0</v>
      </c>
      <c r="N16" s="58">
        <f ca="1">('Market Share'!N113*$L$2)*(c.total.b*1)</f>
        <v>0</v>
      </c>
      <c r="O16" s="58">
        <f ca="1">('Market Share'!O113*$L$2)*(c.total.c*1)</f>
        <v>0</v>
      </c>
      <c r="P16" s="58">
        <f ca="1">('Market Share'!P113*$L$2)*(c.total.d*1)</f>
        <v>0</v>
      </c>
      <c r="Q16" s="58">
        <f t="shared" ca="1" si="1"/>
        <v>0</v>
      </c>
      <c r="R16" s="6"/>
      <c r="AF16" s="109">
        <v>9</v>
      </c>
      <c r="AG16" s="109" t="str">
        <f>(IF(AF16&gt;controle_formulario!$I$16,"Ocultar",""))</f>
        <v>Ocultar</v>
      </c>
    </row>
    <row r="17" spans="2:33" hidden="1" x14ac:dyDescent="0.3">
      <c r="B17" s="5"/>
      <c r="C17" s="59" t="s">
        <v>27</v>
      </c>
      <c r="D17" s="58">
        <f ca="1">('Market Share'!D114*$L$2)*(c.total.nova*$M$2)</f>
        <v>0</v>
      </c>
      <c r="E17" s="58">
        <f ca="1">('Market Share'!E114*$L$2)*(c.total.a*1)</f>
        <v>0</v>
      </c>
      <c r="F17" s="58">
        <f ca="1">('Market Share'!F114*$L$2)*(c.total.b*1)</f>
        <v>0</v>
      </c>
      <c r="G17" s="58">
        <f ca="1">('Market Share'!G114*$L$2)*(c.total.c*1)</f>
        <v>0</v>
      </c>
      <c r="H17" s="58">
        <f ca="1">('Market Share'!H114*$L$2)*(c.total.d*1)</f>
        <v>0</v>
      </c>
      <c r="I17" s="60">
        <f t="shared" ca="1" si="0"/>
        <v>0</v>
      </c>
      <c r="J17" s="48"/>
      <c r="K17" s="59" t="s">
        <v>27</v>
      </c>
      <c r="L17" s="58">
        <f ca="1">('Market Share'!L114*$L$2)*(c.total.nova*$M$2)</f>
        <v>0</v>
      </c>
      <c r="M17" s="58">
        <f ca="1">('Market Share'!M114*$L$2)*(c.total.a*1)</f>
        <v>0</v>
      </c>
      <c r="N17" s="58">
        <f ca="1">('Market Share'!N114*$L$2)*(c.total.b*1)</f>
        <v>0</v>
      </c>
      <c r="O17" s="58">
        <f ca="1">('Market Share'!O114*$L$2)*(c.total.c*1)</f>
        <v>0</v>
      </c>
      <c r="P17" s="58">
        <f ca="1">('Market Share'!P114*$L$2)*(c.total.d*1)</f>
        <v>0</v>
      </c>
      <c r="Q17" s="60">
        <f t="shared" ca="1" si="1"/>
        <v>0</v>
      </c>
      <c r="R17" s="6"/>
      <c r="AF17" s="109">
        <v>10</v>
      </c>
      <c r="AG17" s="109" t="str">
        <f>(IF(AF17&gt;controle_formulario!$I$16,"Ocultar",""))</f>
        <v>Ocultar</v>
      </c>
    </row>
    <row r="18" spans="2:33" x14ac:dyDescent="0.3">
      <c r="B18" s="5"/>
      <c r="C18" s="78" t="s">
        <v>29</v>
      </c>
      <c r="D18" s="78">
        <f ca="1">SUM(D8:D17)</f>
        <v>0</v>
      </c>
      <c r="E18" s="78">
        <f ca="1">SUM(E8:E17)</f>
        <v>20685808.454021443</v>
      </c>
      <c r="F18" s="78">
        <f ca="1">SUM(F8:F17)</f>
        <v>0</v>
      </c>
      <c r="G18" s="78">
        <f ca="1">SUM(G8:G17)</f>
        <v>0</v>
      </c>
      <c r="H18" s="78">
        <f ca="1">SUM(H8:H17)</f>
        <v>0</v>
      </c>
      <c r="I18" s="78">
        <f ca="1">SUM(I8:I12)</f>
        <v>20685808.454021443</v>
      </c>
      <c r="J18" s="48"/>
      <c r="K18" s="78" t="s">
        <v>29</v>
      </c>
      <c r="L18" s="78">
        <f t="shared" ref="L18:Q18" ca="1" si="2">SUM(L8:L17)</f>
        <v>68026948.994058996</v>
      </c>
      <c r="M18" s="78">
        <f t="shared" ca="1" si="2"/>
        <v>4589721.9349456411</v>
      </c>
      <c r="N18" s="78">
        <f t="shared" ca="1" si="2"/>
        <v>0</v>
      </c>
      <c r="O18" s="78">
        <f t="shared" ca="1" si="2"/>
        <v>0</v>
      </c>
      <c r="P18" s="78">
        <f t="shared" ca="1" si="2"/>
        <v>0</v>
      </c>
      <c r="Q18" s="78">
        <f t="shared" ca="1" si="2"/>
        <v>72616670.929004639</v>
      </c>
      <c r="R18" s="6"/>
    </row>
    <row r="19" spans="2:33" x14ac:dyDescent="0.3">
      <c r="B19" s="5"/>
      <c r="C19" s="86"/>
      <c r="D19" s="86"/>
      <c r="E19" s="86"/>
      <c r="F19" s="86"/>
      <c r="G19" s="86"/>
      <c r="H19" s="86"/>
      <c r="I19" s="86"/>
      <c r="J19" s="48"/>
      <c r="K19" s="86"/>
      <c r="L19" s="86"/>
      <c r="M19" s="86"/>
      <c r="N19" s="86"/>
      <c r="O19" s="86"/>
      <c r="P19" s="86"/>
      <c r="Q19" s="86"/>
      <c r="R19" s="6"/>
    </row>
    <row r="20" spans="2:33" x14ac:dyDescent="0.3">
      <c r="B20" s="5"/>
      <c r="J20" s="48"/>
      <c r="R20" s="6"/>
    </row>
    <row r="21" spans="2:33" hidden="1" x14ac:dyDescent="0.3">
      <c r="B21" s="5"/>
      <c r="C21" s="73">
        <f>cen.alt2</f>
        <v>0</v>
      </c>
      <c r="D21" s="29"/>
      <c r="E21" s="29"/>
      <c r="F21" s="29"/>
      <c r="G21" s="29"/>
      <c r="H21" s="29"/>
      <c r="I21" s="29"/>
      <c r="J21" s="48"/>
      <c r="K21" s="73" t="str">
        <f>cen.alt3</f>
        <v>Taxa de difusão em X anos: XX%</v>
      </c>
      <c r="L21" s="29"/>
      <c r="M21" s="29"/>
      <c r="N21" s="29"/>
      <c r="O21" s="29"/>
      <c r="P21" s="29"/>
      <c r="Q21" s="29"/>
      <c r="R21" s="6"/>
      <c r="AG21" s="109" t="str">
        <f>IF($C$23&gt;controle_formulario!$E$16,"Ocultar","")</f>
        <v>Ocultar</v>
      </c>
    </row>
    <row r="22" spans="2:33" ht="16.5" hidden="1" customHeight="1" x14ac:dyDescent="0.3">
      <c r="B22" s="5"/>
      <c r="C22" s="112"/>
      <c r="D22" s="29"/>
      <c r="E22" s="29"/>
      <c r="F22" s="29"/>
      <c r="G22" s="29"/>
      <c r="H22" s="29"/>
      <c r="I22" s="29"/>
      <c r="J22" s="48"/>
      <c r="K22" s="112"/>
      <c r="L22" s="29"/>
      <c r="M22" s="29"/>
      <c r="N22" s="29"/>
      <c r="O22" s="29"/>
      <c r="P22" s="29"/>
      <c r="Q22" s="29"/>
      <c r="R22" s="6"/>
      <c r="AG22" s="109" t="str">
        <f>IF($C$23&gt;controle_formulario!$E$16,"Ocultar","")</f>
        <v>Ocultar</v>
      </c>
    </row>
    <row r="23" spans="2:33" hidden="1" x14ac:dyDescent="0.3">
      <c r="B23" s="5"/>
      <c r="C23" s="113">
        <v>2</v>
      </c>
      <c r="D23" s="30" t="str">
        <f>trat.novo</f>
        <v>Pirtobrutinibe</v>
      </c>
      <c r="E23" s="30" t="str">
        <f>trat.a</f>
        <v xml:space="preserve"> Conjunto de Tratamentos-Padrão</v>
      </c>
      <c r="F23" s="30">
        <f>trat.b</f>
        <v>0</v>
      </c>
      <c r="G23" s="30">
        <f>trat.c</f>
        <v>0</v>
      </c>
      <c r="H23" s="30">
        <f>trat.d</f>
        <v>0</v>
      </c>
      <c r="I23" s="30" t="s">
        <v>29</v>
      </c>
      <c r="J23" s="48"/>
      <c r="K23" s="113">
        <v>3</v>
      </c>
      <c r="L23" s="30" t="str">
        <f>trat.novo</f>
        <v>Pirtobrutinibe</v>
      </c>
      <c r="M23" s="30" t="str">
        <f>trat.a</f>
        <v xml:space="preserve"> Conjunto de Tratamentos-Padrão</v>
      </c>
      <c r="N23" s="30">
        <f>trat.b</f>
        <v>0</v>
      </c>
      <c r="O23" s="30">
        <f>trat.c</f>
        <v>0</v>
      </c>
      <c r="P23" s="30">
        <f>trat.d</f>
        <v>0</v>
      </c>
      <c r="Q23" s="30" t="s">
        <v>29</v>
      </c>
      <c r="R23" s="6"/>
      <c r="AG23" s="109" t="str">
        <f>IF($C$23&gt;controle_formulario!$E$16,"Ocultar","")</f>
        <v>Ocultar</v>
      </c>
    </row>
    <row r="24" spans="2:33" hidden="1" x14ac:dyDescent="0.3">
      <c r="B24" s="5"/>
      <c r="C24" s="56" t="s">
        <v>18</v>
      </c>
      <c r="D24" s="58">
        <f ca="1">('Market Share'!D121*$L$2)*(c.total.nova*$M$2)</f>
        <v>13512621.209626779</v>
      </c>
      <c r="E24" s="58">
        <f ca="1">('Market Share'!E121*$L$2)*(c.total.a*1)</f>
        <v>913454.31967308989</v>
      </c>
      <c r="F24" s="58">
        <f ca="1">('Market Share'!F121*$L$2)*(c.total.b*1)</f>
        <v>0</v>
      </c>
      <c r="G24" s="58">
        <f ca="1">('Market Share'!G121*$L$2)*(c.total.c*1)</f>
        <v>0</v>
      </c>
      <c r="H24" s="58">
        <f ca="1">('Market Share'!H121*$L$2)*(c.total.d*1)</f>
        <v>0</v>
      </c>
      <c r="I24" s="58">
        <f ca="1">SUM(D24:H24)</f>
        <v>14426075.529299868</v>
      </c>
      <c r="J24" s="48"/>
      <c r="K24" s="56" t="s">
        <v>18</v>
      </c>
      <c r="L24" s="58">
        <f ca="1">('Market Share'!L121*$L$2)*(c.total.nova*$M$2)</f>
        <v>0</v>
      </c>
      <c r="M24" s="58">
        <f ca="1">('Market Share'!M121*$L$2)*(c.total.a*1)</f>
        <v>0</v>
      </c>
      <c r="N24" s="58">
        <f ca="1">('Market Share'!N121*$L$2)*(c.total.b*1)</f>
        <v>0</v>
      </c>
      <c r="O24" s="58">
        <f ca="1">('Market Share'!O121*$L$2)*(c.total.c*1)</f>
        <v>0</v>
      </c>
      <c r="P24" s="58">
        <f ca="1">('Market Share'!P121*$L$2)*(c.total.d*1)</f>
        <v>0</v>
      </c>
      <c r="Q24" s="58">
        <f ca="1">SUM(L24:P24)</f>
        <v>0</v>
      </c>
      <c r="R24" s="6"/>
      <c r="AG24" s="109" t="str">
        <f>IF($C$23&gt;controle_formulario!$E$16,"Ocultar","")</f>
        <v>Ocultar</v>
      </c>
    </row>
    <row r="25" spans="2:33" hidden="1" x14ac:dyDescent="0.3">
      <c r="B25" s="5"/>
      <c r="C25" s="56" t="s">
        <v>19</v>
      </c>
      <c r="D25" s="58">
        <f ca="1">('Market Share'!D122*$L$2)*(c.total.nova*$M$2)</f>
        <v>15254666.142937358</v>
      </c>
      <c r="E25" s="58">
        <f ca="1">('Market Share'!E122*$L$2)*(c.total.a*1)</f>
        <v>458318.53436267975</v>
      </c>
      <c r="F25" s="58">
        <f ca="1">('Market Share'!F122*$L$2)*(c.total.b*1)</f>
        <v>0</v>
      </c>
      <c r="G25" s="58">
        <f ca="1">('Market Share'!G122*$L$2)*(c.total.c*1)</f>
        <v>0</v>
      </c>
      <c r="H25" s="58">
        <f ca="1">('Market Share'!H122*$L$2)*(c.total.d*1)</f>
        <v>0</v>
      </c>
      <c r="I25" s="58">
        <f t="shared" ref="I25:I33" ca="1" si="3">SUM(D25:H25)</f>
        <v>15712984.677300038</v>
      </c>
      <c r="J25" s="48"/>
      <c r="K25" s="56" t="s">
        <v>19</v>
      </c>
      <c r="L25" s="58">
        <f ca="1">('Market Share'!L122*$L$2)*(c.total.nova*$M$2)</f>
        <v>0</v>
      </c>
      <c r="M25" s="58">
        <f ca="1">('Market Share'!M122*$L$2)*(c.total.a*1)</f>
        <v>0</v>
      </c>
      <c r="N25" s="58">
        <f ca="1">('Market Share'!N122*$L$2)*(c.total.b*1)</f>
        <v>0</v>
      </c>
      <c r="O25" s="58">
        <f ca="1">('Market Share'!O122*$L$2)*(c.total.c*1)</f>
        <v>0</v>
      </c>
      <c r="P25" s="58">
        <f ca="1">('Market Share'!P122*$L$2)*(c.total.d*1)</f>
        <v>0</v>
      </c>
      <c r="Q25" s="58">
        <f t="shared" ref="Q25:Q33" ca="1" si="4">SUM(L25:P25)</f>
        <v>0</v>
      </c>
      <c r="R25" s="6"/>
      <c r="AF25" s="109">
        <v>2</v>
      </c>
      <c r="AG25" s="109" t="str">
        <f>(IF(OR(AF25&gt;controle_formulario!$I$16,$C$23&gt;controle_formulario!$E$16),"Ocultar",""))</f>
        <v>Ocultar</v>
      </c>
    </row>
    <row r="26" spans="2:33" hidden="1" x14ac:dyDescent="0.3">
      <c r="B26" s="5"/>
      <c r="C26" s="56" t="s">
        <v>20</v>
      </c>
      <c r="D26" s="58">
        <f ca="1">('Market Share'!D123*$L$2)*(c.total.nova*$M$2)</f>
        <v>15303625.423831977</v>
      </c>
      <c r="E26" s="58">
        <f ca="1">('Market Share'!E123*$L$2)*(c.total.a*1)</f>
        <v>459789.49057062401</v>
      </c>
      <c r="F26" s="58">
        <f ca="1">('Market Share'!F123*$L$2)*(c.total.b*1)</f>
        <v>0</v>
      </c>
      <c r="G26" s="58">
        <f ca="1">('Market Share'!G123*$L$2)*(c.total.c*1)</f>
        <v>0</v>
      </c>
      <c r="H26" s="58">
        <f ca="1">('Market Share'!H123*$L$2)*(c.total.d*1)</f>
        <v>0</v>
      </c>
      <c r="I26" s="58">
        <f t="shared" ca="1" si="3"/>
        <v>15763414.9144026</v>
      </c>
      <c r="J26" s="48"/>
      <c r="K26" s="56" t="s">
        <v>20</v>
      </c>
      <c r="L26" s="58">
        <f ca="1">('Market Share'!L123*$L$2)*(c.total.nova*$M$2)</f>
        <v>0</v>
      </c>
      <c r="M26" s="58">
        <f ca="1">('Market Share'!M123*$L$2)*(c.total.a*1)</f>
        <v>0</v>
      </c>
      <c r="N26" s="58">
        <f ca="1">('Market Share'!N123*$L$2)*(c.total.b*1)</f>
        <v>0</v>
      </c>
      <c r="O26" s="58">
        <f ca="1">('Market Share'!O123*$L$2)*(c.total.c*1)</f>
        <v>0</v>
      </c>
      <c r="P26" s="58">
        <f ca="1">('Market Share'!P123*$L$2)*(c.total.d*1)</f>
        <v>0</v>
      </c>
      <c r="Q26" s="58">
        <f t="shared" ca="1" si="4"/>
        <v>0</v>
      </c>
      <c r="R26" s="6"/>
      <c r="AF26" s="109">
        <v>3</v>
      </c>
      <c r="AG26" s="109" t="str">
        <f>(IF(OR(AF26&gt;controle_formulario!$I$16,$C$23&gt;controle_formulario!$E$16),"Ocultar",""))</f>
        <v>Ocultar</v>
      </c>
    </row>
    <row r="27" spans="2:33" hidden="1" x14ac:dyDescent="0.3">
      <c r="B27" s="5"/>
      <c r="C27" s="56" t="s">
        <v>21</v>
      </c>
      <c r="D27" s="58">
        <f ca="1">('Market Share'!D124*$L$2)*(c.total.nova*$M$2)</f>
        <v>15349052.48937748</v>
      </c>
      <c r="E27" s="58">
        <f ca="1">('Market Share'!E124*$L$2)*(c.total.a*1)</f>
        <v>461154.32319994067</v>
      </c>
      <c r="F27" s="58">
        <f ca="1">('Market Share'!F124*$L$2)*(c.total.b*1)</f>
        <v>0</v>
      </c>
      <c r="G27" s="58">
        <f ca="1">('Market Share'!G124*$L$2)*(c.total.c*1)</f>
        <v>0</v>
      </c>
      <c r="H27" s="58">
        <f ca="1">('Market Share'!H124*$L$2)*(c.total.d*1)</f>
        <v>0</v>
      </c>
      <c r="I27" s="58">
        <f t="shared" ca="1" si="3"/>
        <v>15810206.812577421</v>
      </c>
      <c r="J27" s="48"/>
      <c r="K27" s="56" t="s">
        <v>21</v>
      </c>
      <c r="L27" s="58">
        <f ca="1">('Market Share'!L124*$L$2)*(c.total.nova*$M$2)</f>
        <v>0</v>
      </c>
      <c r="M27" s="58">
        <f ca="1">('Market Share'!M124*$L$2)*(c.total.a*1)</f>
        <v>0</v>
      </c>
      <c r="N27" s="58">
        <f ca="1">('Market Share'!N124*$L$2)*(c.total.b*1)</f>
        <v>0</v>
      </c>
      <c r="O27" s="58">
        <f ca="1">('Market Share'!O124*$L$2)*(c.total.c*1)</f>
        <v>0</v>
      </c>
      <c r="P27" s="58">
        <f ca="1">('Market Share'!P124*$L$2)*(c.total.d*1)</f>
        <v>0</v>
      </c>
      <c r="Q27" s="58">
        <f t="shared" ca="1" si="4"/>
        <v>0</v>
      </c>
      <c r="R27" s="6"/>
      <c r="AF27" s="109">
        <v>4</v>
      </c>
      <c r="AG27" s="109" t="str">
        <f>(IF(OR(AF27&gt;controle_formulario!$I$16,$C$23&gt;controle_formulario!$E$16),"Ocultar",""))</f>
        <v>Ocultar</v>
      </c>
    </row>
    <row r="28" spans="2:33" hidden="1" x14ac:dyDescent="0.3">
      <c r="B28" s="5"/>
      <c r="C28" s="56" t="s">
        <v>22</v>
      </c>
      <c r="D28" s="58">
        <f ca="1">('Market Share'!D125*$L$2)*(c.total.nova*$M$2)</f>
        <v>15391633.699813943</v>
      </c>
      <c r="E28" s="58">
        <f ca="1">('Market Share'!E125*$L$2)*(c.total.a*1)</f>
        <v>462433.65358814877</v>
      </c>
      <c r="F28" s="58">
        <f ca="1">('Market Share'!F125*$L$2)*(c.total.b*1)</f>
        <v>0</v>
      </c>
      <c r="G28" s="58">
        <f ca="1">('Market Share'!G125*$L$2)*(c.total.c*1)</f>
        <v>0</v>
      </c>
      <c r="H28" s="58">
        <f ca="1">('Market Share'!H125*$L$2)*(c.total.d*1)</f>
        <v>0</v>
      </c>
      <c r="I28" s="58">
        <f t="shared" ca="1" si="3"/>
        <v>15854067.353402093</v>
      </c>
      <c r="J28" s="48"/>
      <c r="K28" s="56" t="s">
        <v>22</v>
      </c>
      <c r="L28" s="58">
        <f ca="1">('Market Share'!L125*$L$2)*(c.total.nova*$M$2)</f>
        <v>0</v>
      </c>
      <c r="M28" s="58">
        <f ca="1">('Market Share'!M125*$L$2)*(c.total.a*1)</f>
        <v>0</v>
      </c>
      <c r="N28" s="58">
        <f ca="1">('Market Share'!N125*$L$2)*(c.total.b*1)</f>
        <v>0</v>
      </c>
      <c r="O28" s="58">
        <f ca="1">('Market Share'!O125*$L$2)*(c.total.c*1)</f>
        <v>0</v>
      </c>
      <c r="P28" s="58">
        <f ca="1">('Market Share'!P125*$L$2)*(c.total.d*1)</f>
        <v>0</v>
      </c>
      <c r="Q28" s="58">
        <f t="shared" ca="1" si="4"/>
        <v>0</v>
      </c>
      <c r="R28" s="6"/>
      <c r="AF28" s="109">
        <v>5</v>
      </c>
      <c r="AG28" s="109" t="str">
        <f>(IF(OR(AF28&gt;controle_formulario!$I$16,$C$23&gt;controle_formulario!$E$16),"Ocultar",""))</f>
        <v>Ocultar</v>
      </c>
    </row>
    <row r="29" spans="2:33" hidden="1" x14ac:dyDescent="0.3">
      <c r="B29" s="5"/>
      <c r="C29" s="56" t="s">
        <v>23</v>
      </c>
      <c r="D29" s="58">
        <f ca="1">('Market Share'!D126*$L$2)*(c.total.nova*$M$2)</f>
        <v>0</v>
      </c>
      <c r="E29" s="58">
        <f ca="1">('Market Share'!E126*$L$2)*(c.total.a*1)</f>
        <v>0</v>
      </c>
      <c r="F29" s="58">
        <f ca="1">('Market Share'!F126*$L$2)*(c.total.b*1)</f>
        <v>0</v>
      </c>
      <c r="G29" s="58">
        <f ca="1">('Market Share'!G126*$L$2)*(c.total.c*1)</f>
        <v>0</v>
      </c>
      <c r="H29" s="58">
        <f ca="1">('Market Share'!H126*$L$2)*(c.total.d*1)</f>
        <v>0</v>
      </c>
      <c r="I29" s="58">
        <f t="shared" ca="1" si="3"/>
        <v>0</v>
      </c>
      <c r="J29" s="48"/>
      <c r="K29" s="56" t="s">
        <v>23</v>
      </c>
      <c r="L29" s="58">
        <f ca="1">('Market Share'!L126*$L$2)*(c.total.nova*$M$2)</f>
        <v>0</v>
      </c>
      <c r="M29" s="58">
        <f ca="1">('Market Share'!M126*$L$2)*(c.total.a*1)</f>
        <v>0</v>
      </c>
      <c r="N29" s="58">
        <f ca="1">('Market Share'!N126*$L$2)*(c.total.b*1)</f>
        <v>0</v>
      </c>
      <c r="O29" s="58">
        <f ca="1">('Market Share'!O126*$L$2)*(c.total.c*1)</f>
        <v>0</v>
      </c>
      <c r="P29" s="58">
        <f ca="1">('Market Share'!P126*$L$2)*(c.total.d*1)</f>
        <v>0</v>
      </c>
      <c r="Q29" s="58">
        <f t="shared" ca="1" si="4"/>
        <v>0</v>
      </c>
      <c r="R29" s="6"/>
      <c r="AF29" s="109">
        <v>6</v>
      </c>
      <c r="AG29" s="109" t="str">
        <f>(IF(OR(AF29&gt;controle_formulario!$I$16,$C$23&gt;controle_formulario!$E$16),"Ocultar",""))</f>
        <v>Ocultar</v>
      </c>
    </row>
    <row r="30" spans="2:33" hidden="1" x14ac:dyDescent="0.3">
      <c r="B30" s="5"/>
      <c r="C30" s="56" t="s">
        <v>24</v>
      </c>
      <c r="D30" s="58">
        <f ca="1">('Market Share'!D127*$L$2)*(c.total.nova*$M$2)</f>
        <v>0</v>
      </c>
      <c r="E30" s="58">
        <f ca="1">('Market Share'!E127*$L$2)*(c.total.a*1)</f>
        <v>0</v>
      </c>
      <c r="F30" s="58">
        <f ca="1">('Market Share'!F127*$L$2)*(c.total.b*1)</f>
        <v>0</v>
      </c>
      <c r="G30" s="58">
        <f ca="1">('Market Share'!G127*$L$2)*(c.total.c*1)</f>
        <v>0</v>
      </c>
      <c r="H30" s="58">
        <f ca="1">('Market Share'!H127*$L$2)*(c.total.d*1)</f>
        <v>0</v>
      </c>
      <c r="I30" s="58">
        <f t="shared" ca="1" si="3"/>
        <v>0</v>
      </c>
      <c r="J30" s="48"/>
      <c r="K30" s="56" t="s">
        <v>24</v>
      </c>
      <c r="L30" s="58">
        <f ca="1">('Market Share'!L127*$L$2)*(c.total.nova*$M$2)</f>
        <v>0</v>
      </c>
      <c r="M30" s="58">
        <f ca="1">('Market Share'!M127*$L$2)*(c.total.a*1)</f>
        <v>0</v>
      </c>
      <c r="N30" s="58">
        <f ca="1">('Market Share'!N127*$L$2)*(c.total.b*1)</f>
        <v>0</v>
      </c>
      <c r="O30" s="58">
        <f ca="1">('Market Share'!O127*$L$2)*(c.total.c*1)</f>
        <v>0</v>
      </c>
      <c r="P30" s="58">
        <f ca="1">('Market Share'!P127*$L$2)*(c.total.d*1)</f>
        <v>0</v>
      </c>
      <c r="Q30" s="58">
        <f t="shared" ca="1" si="4"/>
        <v>0</v>
      </c>
      <c r="R30" s="6"/>
      <c r="AF30" s="109">
        <v>7</v>
      </c>
      <c r="AG30" s="109" t="str">
        <f>(IF(OR(AF30&gt;controle_formulario!$I$16,$C$23&gt;controle_formulario!$E$16),"Ocultar",""))</f>
        <v>Ocultar</v>
      </c>
    </row>
    <row r="31" spans="2:33" hidden="1" x14ac:dyDescent="0.3">
      <c r="B31" s="5"/>
      <c r="C31" s="56" t="s">
        <v>25</v>
      </c>
      <c r="D31" s="58">
        <f ca="1">('Market Share'!D128*$L$2)*(c.total.nova*$M$2)</f>
        <v>0</v>
      </c>
      <c r="E31" s="58">
        <f ca="1">('Market Share'!E128*$L$2)*(c.total.a*1)</f>
        <v>0</v>
      </c>
      <c r="F31" s="58">
        <f ca="1">('Market Share'!F128*$L$2)*(c.total.b*1)</f>
        <v>0</v>
      </c>
      <c r="G31" s="58">
        <f ca="1">('Market Share'!G128*$L$2)*(c.total.c*1)</f>
        <v>0</v>
      </c>
      <c r="H31" s="58">
        <f ca="1">('Market Share'!H128*$L$2)*(c.total.d*1)</f>
        <v>0</v>
      </c>
      <c r="I31" s="58">
        <f t="shared" ca="1" si="3"/>
        <v>0</v>
      </c>
      <c r="J31" s="48"/>
      <c r="K31" s="56" t="s">
        <v>25</v>
      </c>
      <c r="L31" s="58">
        <f ca="1">('Market Share'!L128*$L$2)*(c.total.nova*$M$2)</f>
        <v>0</v>
      </c>
      <c r="M31" s="58">
        <f ca="1">('Market Share'!M128*$L$2)*(c.total.a*1)</f>
        <v>0</v>
      </c>
      <c r="N31" s="58">
        <f ca="1">('Market Share'!N128*$L$2)*(c.total.b*1)</f>
        <v>0</v>
      </c>
      <c r="O31" s="58">
        <f ca="1">('Market Share'!O128*$L$2)*(c.total.c*1)</f>
        <v>0</v>
      </c>
      <c r="P31" s="58">
        <f ca="1">('Market Share'!P128*$L$2)*(c.total.d*1)</f>
        <v>0</v>
      </c>
      <c r="Q31" s="58">
        <f t="shared" ca="1" si="4"/>
        <v>0</v>
      </c>
      <c r="R31" s="6"/>
      <c r="AF31" s="109">
        <v>8</v>
      </c>
      <c r="AG31" s="109" t="str">
        <f>(IF(OR(AF31&gt;controle_formulario!$I$16,$C$23&gt;controle_formulario!$E$16),"Ocultar",""))</f>
        <v>Ocultar</v>
      </c>
    </row>
    <row r="32" spans="2:33" hidden="1" x14ac:dyDescent="0.3">
      <c r="B32" s="5"/>
      <c r="C32" s="56" t="s">
        <v>26</v>
      </c>
      <c r="D32" s="58">
        <f ca="1">('Market Share'!D129*$L$2)*(c.total.nova*$M$2)</f>
        <v>0</v>
      </c>
      <c r="E32" s="58">
        <f ca="1">('Market Share'!E129*$L$2)*(c.total.a*1)</f>
        <v>0</v>
      </c>
      <c r="F32" s="58">
        <f ca="1">('Market Share'!F129*$L$2)*(c.total.b*1)</f>
        <v>0</v>
      </c>
      <c r="G32" s="58">
        <f ca="1">('Market Share'!G129*$L$2)*(c.total.c*1)</f>
        <v>0</v>
      </c>
      <c r="H32" s="58">
        <f ca="1">('Market Share'!H129*$L$2)*(c.total.d*1)</f>
        <v>0</v>
      </c>
      <c r="I32" s="58">
        <f t="shared" ca="1" si="3"/>
        <v>0</v>
      </c>
      <c r="J32" s="48"/>
      <c r="K32" s="56" t="s">
        <v>26</v>
      </c>
      <c r="L32" s="58">
        <f ca="1">('Market Share'!L129*$L$2)*(c.total.nova*$M$2)</f>
        <v>0</v>
      </c>
      <c r="M32" s="58">
        <f ca="1">('Market Share'!M129*$L$2)*(c.total.a*1)</f>
        <v>0</v>
      </c>
      <c r="N32" s="58">
        <f ca="1">('Market Share'!N129*$L$2)*(c.total.b*1)</f>
        <v>0</v>
      </c>
      <c r="O32" s="58">
        <f ca="1">('Market Share'!O129*$L$2)*(c.total.c*1)</f>
        <v>0</v>
      </c>
      <c r="P32" s="58">
        <f ca="1">('Market Share'!P129*$L$2)*(c.total.d*1)</f>
        <v>0</v>
      </c>
      <c r="Q32" s="58">
        <f t="shared" ca="1" si="4"/>
        <v>0</v>
      </c>
      <c r="R32" s="6"/>
      <c r="AF32" s="109">
        <v>9</v>
      </c>
      <c r="AG32" s="109" t="str">
        <f>(IF(OR(AF32&gt;controle_formulario!$I$16,$C$23&gt;controle_formulario!$E$16),"Ocultar",""))</f>
        <v>Ocultar</v>
      </c>
    </row>
    <row r="33" spans="2:33" hidden="1" x14ac:dyDescent="0.3">
      <c r="B33" s="5"/>
      <c r="C33" s="59" t="s">
        <v>27</v>
      </c>
      <c r="D33" s="58">
        <f ca="1">('Market Share'!D130*$L$2)*(c.total.nova*$M$2)</f>
        <v>0</v>
      </c>
      <c r="E33" s="58">
        <f ca="1">('Market Share'!E130*$L$2)*(c.total.a*1)</f>
        <v>0</v>
      </c>
      <c r="F33" s="58">
        <f ca="1">('Market Share'!F130*$L$2)*(c.total.b*1)</f>
        <v>0</v>
      </c>
      <c r="G33" s="58">
        <f ca="1">('Market Share'!G130*$L$2)*(c.total.c*1)</f>
        <v>0</v>
      </c>
      <c r="H33" s="58">
        <f ca="1">('Market Share'!H130*$L$2)*(c.total.d*1)</f>
        <v>0</v>
      </c>
      <c r="I33" s="60">
        <f t="shared" ca="1" si="3"/>
        <v>0</v>
      </c>
      <c r="J33" s="48"/>
      <c r="K33" s="59" t="s">
        <v>27</v>
      </c>
      <c r="L33" s="58">
        <f ca="1">('Market Share'!L130*$L$2)*(c.total.nova*$M$2)</f>
        <v>0</v>
      </c>
      <c r="M33" s="58">
        <f ca="1">('Market Share'!M130*$L$2)*(c.total.a*1)</f>
        <v>0</v>
      </c>
      <c r="N33" s="58">
        <f ca="1">('Market Share'!N130*$L$2)*(c.total.b*1)</f>
        <v>0</v>
      </c>
      <c r="O33" s="58">
        <f ca="1">('Market Share'!O130*$L$2)*(c.total.c*1)</f>
        <v>0</v>
      </c>
      <c r="P33" s="58">
        <f ca="1">('Market Share'!P130*$L$2)*(c.total.d*1)</f>
        <v>0</v>
      </c>
      <c r="Q33" s="60">
        <f t="shared" ca="1" si="4"/>
        <v>0</v>
      </c>
      <c r="R33" s="6"/>
      <c r="AF33" s="109">
        <v>10</v>
      </c>
      <c r="AG33" s="109" t="str">
        <f>(IF(OR(AF33&gt;controle_formulario!$I$16,$C$23&gt;controle_formulario!$E$16),"Ocultar",""))</f>
        <v>Ocultar</v>
      </c>
    </row>
    <row r="34" spans="2:33" hidden="1" x14ac:dyDescent="0.3">
      <c r="B34" s="5"/>
      <c r="C34" s="62" t="s">
        <v>29</v>
      </c>
      <c r="D34" s="78">
        <f t="shared" ref="D34:I34" ca="1" si="5">SUM(D24:D33)</f>
        <v>74811598.965587541</v>
      </c>
      <c r="E34" s="78">
        <f t="shared" ca="1" si="5"/>
        <v>2755150.3213944831</v>
      </c>
      <c r="F34" s="78">
        <f t="shared" ca="1" si="5"/>
        <v>0</v>
      </c>
      <c r="G34" s="78">
        <f t="shared" ca="1" si="5"/>
        <v>0</v>
      </c>
      <c r="H34" s="78">
        <f t="shared" ca="1" si="5"/>
        <v>0</v>
      </c>
      <c r="I34" s="78">
        <f t="shared" ca="1" si="5"/>
        <v>77566749.28698203</v>
      </c>
      <c r="J34" s="48"/>
      <c r="K34" s="62" t="s">
        <v>29</v>
      </c>
      <c r="L34" s="78">
        <f t="shared" ref="L34:Q34" ca="1" si="6">SUM(L24:L33)</f>
        <v>0</v>
      </c>
      <c r="M34" s="78">
        <f t="shared" ca="1" si="6"/>
        <v>0</v>
      </c>
      <c r="N34" s="78">
        <f t="shared" ca="1" si="6"/>
        <v>0</v>
      </c>
      <c r="O34" s="78">
        <f t="shared" ca="1" si="6"/>
        <v>0</v>
      </c>
      <c r="P34" s="78">
        <f t="shared" ca="1" si="6"/>
        <v>0</v>
      </c>
      <c r="Q34" s="78">
        <f t="shared" ca="1" si="6"/>
        <v>0</v>
      </c>
      <c r="R34" s="6"/>
      <c r="AG34" s="109" t="str">
        <f>IF($C$23&gt;controle_formulario!$E$16,"Ocultar","")</f>
        <v>Ocultar</v>
      </c>
    </row>
    <row r="35" spans="2:33" x14ac:dyDescent="0.3">
      <c r="B35" s="5"/>
      <c r="C35" s="56"/>
      <c r="D35" s="86"/>
      <c r="E35" s="86"/>
      <c r="F35" s="86"/>
      <c r="G35" s="86"/>
      <c r="H35" s="86"/>
      <c r="I35" s="86"/>
      <c r="J35" s="48"/>
      <c r="R35" s="6"/>
    </row>
    <row r="36" spans="2:33" x14ac:dyDescent="0.3">
      <c r="B36" s="5"/>
      <c r="J36" s="48"/>
      <c r="R36" s="6"/>
    </row>
    <row r="37" spans="2:33" hidden="1" x14ac:dyDescent="0.3">
      <c r="B37" s="5"/>
      <c r="C37" s="73" t="str">
        <f>cen.alt4</f>
        <v>Taxa de difusão em X anos: XX%</v>
      </c>
      <c r="D37" s="29"/>
      <c r="E37" s="29"/>
      <c r="F37" s="29"/>
      <c r="G37" s="29"/>
      <c r="H37" s="29"/>
      <c r="I37" s="29"/>
      <c r="J37" s="48"/>
      <c r="K37" s="73" t="str">
        <f>cen.alt5</f>
        <v>Taxa de difusão em X anos: XX%</v>
      </c>
      <c r="L37" s="29"/>
      <c r="M37" s="29"/>
      <c r="N37" s="29"/>
      <c r="O37" s="29"/>
      <c r="P37" s="29"/>
      <c r="Q37" s="29"/>
      <c r="R37" s="6"/>
      <c r="AG37" s="109" t="str">
        <f>IF($C$39&gt;controle_formulario!$E$16,"Ocultar","")</f>
        <v>Ocultar</v>
      </c>
    </row>
    <row r="38" spans="2:33" ht="9" hidden="1" customHeight="1" x14ac:dyDescent="0.3">
      <c r="B38" s="5"/>
      <c r="C38" s="112"/>
      <c r="D38" s="29"/>
      <c r="E38" s="29"/>
      <c r="F38" s="29"/>
      <c r="G38" s="29"/>
      <c r="H38" s="29"/>
      <c r="I38" s="29"/>
      <c r="J38" s="48"/>
      <c r="K38" s="112"/>
      <c r="L38" s="29"/>
      <c r="M38" s="29"/>
      <c r="N38" s="29"/>
      <c r="O38" s="29"/>
      <c r="P38" s="29"/>
      <c r="Q38" s="29"/>
      <c r="R38" s="6"/>
      <c r="AG38" s="109" t="str">
        <f>IF($C$39&gt;controle_formulario!$E$16,"Ocultar","")</f>
        <v>Ocultar</v>
      </c>
    </row>
    <row r="39" spans="2:33" hidden="1" x14ac:dyDescent="0.3">
      <c r="B39" s="5"/>
      <c r="C39" s="113">
        <v>4</v>
      </c>
      <c r="D39" s="30" t="str">
        <f>trat.novo</f>
        <v>Pirtobrutinibe</v>
      </c>
      <c r="E39" s="30" t="str">
        <f>trat.a</f>
        <v xml:space="preserve"> Conjunto de Tratamentos-Padrão</v>
      </c>
      <c r="F39" s="30">
        <f>trat.b</f>
        <v>0</v>
      </c>
      <c r="G39" s="30">
        <f>trat.c</f>
        <v>0</v>
      </c>
      <c r="H39" s="30">
        <f>trat.d</f>
        <v>0</v>
      </c>
      <c r="I39" s="30" t="s">
        <v>29</v>
      </c>
      <c r="J39" s="48"/>
      <c r="K39" s="113">
        <v>5</v>
      </c>
      <c r="L39" s="30" t="str">
        <f>trat.novo</f>
        <v>Pirtobrutinibe</v>
      </c>
      <c r="M39" s="30" t="str">
        <f>trat.a</f>
        <v xml:space="preserve"> Conjunto de Tratamentos-Padrão</v>
      </c>
      <c r="N39" s="30">
        <f>trat.b</f>
        <v>0</v>
      </c>
      <c r="O39" s="30">
        <f>trat.c</f>
        <v>0</v>
      </c>
      <c r="P39" s="30">
        <f>trat.d</f>
        <v>0</v>
      </c>
      <c r="Q39" s="30" t="s">
        <v>29</v>
      </c>
      <c r="R39" s="6"/>
      <c r="AG39" s="109" t="str">
        <f>IF($C$39&gt;controle_formulario!$E$16,"Ocultar","")</f>
        <v>Ocultar</v>
      </c>
    </row>
    <row r="40" spans="2:33" hidden="1" x14ac:dyDescent="0.3">
      <c r="B40" s="5"/>
      <c r="C40" s="56" t="s">
        <v>18</v>
      </c>
      <c r="D40" s="58">
        <f ca="1">('Market Share'!D137*$L$2)*(c.total.nova*$M$2)</f>
        <v>0</v>
      </c>
      <c r="E40" s="58">
        <f ca="1">('Market Share'!E137*$L$2)*(c.total.a*1)</f>
        <v>0</v>
      </c>
      <c r="F40" s="58">
        <f ca="1">('Market Share'!F137*$L$2)*(c.total.b*1)</f>
        <v>0</v>
      </c>
      <c r="G40" s="58">
        <f ca="1">('Market Share'!G137*$L$2)*(c.total.c*1)</f>
        <v>0</v>
      </c>
      <c r="H40" s="58">
        <f ca="1">('Market Share'!H137*$L$2)*(c.total.d*1)</f>
        <v>0</v>
      </c>
      <c r="I40" s="58">
        <f ca="1">SUM(D40:H40)</f>
        <v>0</v>
      </c>
      <c r="J40" s="48"/>
      <c r="K40" s="56" t="s">
        <v>18</v>
      </c>
      <c r="L40" s="58">
        <f ca="1">('Market Share'!L137*$L$2)*(c.total.nova*$M$2)</f>
        <v>0</v>
      </c>
      <c r="M40" s="58">
        <f ca="1">('Market Share'!M137*$L$2)*(c.total.a*1)</f>
        <v>0</v>
      </c>
      <c r="N40" s="58">
        <f ca="1">('Market Share'!N137*$L$2)*(c.total.b*1)</f>
        <v>0</v>
      </c>
      <c r="O40" s="58">
        <f ca="1">('Market Share'!O137*$L$2)*(c.total.c*1)</f>
        <v>0</v>
      </c>
      <c r="P40" s="58">
        <f ca="1">('Market Share'!P137*$L$2)*(c.total.d*1)</f>
        <v>0</v>
      </c>
      <c r="Q40" s="58">
        <f ca="1">SUM(L40:P40)</f>
        <v>0</v>
      </c>
      <c r="R40" s="6"/>
      <c r="AG40" s="109" t="str">
        <f>IF($C$39&gt;controle_formulario!$E$16,"Ocultar","")</f>
        <v>Ocultar</v>
      </c>
    </row>
    <row r="41" spans="2:33" hidden="1" x14ac:dyDescent="0.3">
      <c r="B41" s="5"/>
      <c r="C41" s="56" t="s">
        <v>19</v>
      </c>
      <c r="D41" s="58">
        <f ca="1">('Market Share'!D138*$L$2)*(c.total.nova*$M$2)</f>
        <v>0</v>
      </c>
      <c r="E41" s="58">
        <f ca="1">('Market Share'!E138*$L$2)*(c.total.a*1)</f>
        <v>0</v>
      </c>
      <c r="F41" s="58">
        <f ca="1">('Market Share'!F138*$L$2)*(c.total.b*1)</f>
        <v>0</v>
      </c>
      <c r="G41" s="58">
        <f ca="1">('Market Share'!G138*$L$2)*(c.total.c*1)</f>
        <v>0</v>
      </c>
      <c r="H41" s="58">
        <f ca="1">('Market Share'!H138*$L$2)*(c.total.d*1)</f>
        <v>0</v>
      </c>
      <c r="I41" s="58">
        <f t="shared" ref="I41:I49" ca="1" si="7">SUM(D41:H41)</f>
        <v>0</v>
      </c>
      <c r="J41" s="48"/>
      <c r="K41" s="56" t="s">
        <v>19</v>
      </c>
      <c r="L41" s="58">
        <f ca="1">('Market Share'!L138*$L$2)*(c.total.nova*$M$2)</f>
        <v>0</v>
      </c>
      <c r="M41" s="58">
        <f ca="1">('Market Share'!M138*$L$2)*(c.total.a*1)</f>
        <v>0</v>
      </c>
      <c r="N41" s="58">
        <f ca="1">('Market Share'!N138*$L$2)*(c.total.b*1)</f>
        <v>0</v>
      </c>
      <c r="O41" s="58">
        <f ca="1">('Market Share'!O138*$L$2)*(c.total.c*1)</f>
        <v>0</v>
      </c>
      <c r="P41" s="58">
        <f ca="1">('Market Share'!P138*$L$2)*(c.total.d*1)</f>
        <v>0</v>
      </c>
      <c r="Q41" s="58">
        <f t="shared" ref="Q41:Q49" ca="1" si="8">SUM(L41:P41)</f>
        <v>0</v>
      </c>
      <c r="R41" s="6"/>
      <c r="AF41" s="109">
        <v>2</v>
      </c>
      <c r="AG41" s="109" t="str">
        <f>(IF(OR(AF41&gt;controle_formulario!$I$16,$C$39&gt;controle_formulario!$E$16),"Ocultar",""))</f>
        <v>Ocultar</v>
      </c>
    </row>
    <row r="42" spans="2:33" hidden="1" x14ac:dyDescent="0.3">
      <c r="B42" s="5"/>
      <c r="C42" s="56" t="s">
        <v>20</v>
      </c>
      <c r="D42" s="58">
        <f ca="1">('Market Share'!D139*$L$2)*(c.total.nova*$M$2)</f>
        <v>0</v>
      </c>
      <c r="E42" s="58">
        <f ca="1">('Market Share'!E139*$L$2)*(c.total.a*1)</f>
        <v>0</v>
      </c>
      <c r="F42" s="58">
        <f ca="1">('Market Share'!F139*$L$2)*(c.total.b*1)</f>
        <v>0</v>
      </c>
      <c r="G42" s="58">
        <f ca="1">('Market Share'!G139*$L$2)*(c.total.c*1)</f>
        <v>0</v>
      </c>
      <c r="H42" s="58">
        <f ca="1">('Market Share'!H139*$L$2)*(c.total.d*1)</f>
        <v>0</v>
      </c>
      <c r="I42" s="58">
        <f t="shared" ca="1" si="7"/>
        <v>0</v>
      </c>
      <c r="J42" s="48"/>
      <c r="K42" s="56" t="s">
        <v>20</v>
      </c>
      <c r="L42" s="58">
        <f ca="1">('Market Share'!L139*$L$2)*(c.total.nova*$M$2)</f>
        <v>0</v>
      </c>
      <c r="M42" s="58">
        <f ca="1">('Market Share'!M139*$L$2)*(c.total.a*1)</f>
        <v>0</v>
      </c>
      <c r="N42" s="58">
        <f ca="1">('Market Share'!N139*$L$2)*(c.total.b*1)</f>
        <v>0</v>
      </c>
      <c r="O42" s="58">
        <f ca="1">('Market Share'!O139*$L$2)*(c.total.c*1)</f>
        <v>0</v>
      </c>
      <c r="P42" s="58">
        <f ca="1">('Market Share'!P139*$L$2)*(c.total.d*1)</f>
        <v>0</v>
      </c>
      <c r="Q42" s="58">
        <f t="shared" ca="1" si="8"/>
        <v>0</v>
      </c>
      <c r="R42" s="6"/>
      <c r="AF42" s="109">
        <v>3</v>
      </c>
      <c r="AG42" s="109" t="str">
        <f>(IF(OR(AF42&gt;controle_formulario!$I$16,$C$39&gt;controle_formulario!$E$16),"Ocultar",""))</f>
        <v>Ocultar</v>
      </c>
    </row>
    <row r="43" spans="2:33" hidden="1" x14ac:dyDescent="0.3">
      <c r="B43" s="5"/>
      <c r="C43" s="56" t="s">
        <v>21</v>
      </c>
      <c r="D43" s="58">
        <f ca="1">('Market Share'!D140*$L$2)*(c.total.nova*$M$2)</f>
        <v>0</v>
      </c>
      <c r="E43" s="58">
        <f ca="1">('Market Share'!E140*$L$2)*(c.total.a*1)</f>
        <v>0</v>
      </c>
      <c r="F43" s="58">
        <f ca="1">('Market Share'!F140*$L$2)*(c.total.b*1)</f>
        <v>0</v>
      </c>
      <c r="G43" s="58">
        <f ca="1">('Market Share'!G140*$L$2)*(c.total.c*1)</f>
        <v>0</v>
      </c>
      <c r="H43" s="58">
        <f ca="1">('Market Share'!H140*$L$2)*(c.total.d*1)</f>
        <v>0</v>
      </c>
      <c r="I43" s="58">
        <f t="shared" ca="1" si="7"/>
        <v>0</v>
      </c>
      <c r="J43" s="48"/>
      <c r="K43" s="56" t="s">
        <v>21</v>
      </c>
      <c r="L43" s="58">
        <f ca="1">('Market Share'!L140*$L$2)*(c.total.nova*$M$2)</f>
        <v>0</v>
      </c>
      <c r="M43" s="58">
        <f ca="1">('Market Share'!M140*$L$2)*(c.total.a*1)</f>
        <v>0</v>
      </c>
      <c r="N43" s="58">
        <f ca="1">('Market Share'!N140*$L$2)*(c.total.b*1)</f>
        <v>0</v>
      </c>
      <c r="O43" s="58">
        <f ca="1">('Market Share'!O140*$L$2)*(c.total.c*1)</f>
        <v>0</v>
      </c>
      <c r="P43" s="58">
        <f ca="1">('Market Share'!P140*$L$2)*(c.total.d*1)</f>
        <v>0</v>
      </c>
      <c r="Q43" s="58">
        <f t="shared" ca="1" si="8"/>
        <v>0</v>
      </c>
      <c r="R43" s="6"/>
      <c r="AF43" s="109">
        <v>4</v>
      </c>
      <c r="AG43" s="109" t="str">
        <f>(IF(OR(AF43&gt;controle_formulario!$I$16,$C$39&gt;controle_formulario!$E$16),"Ocultar",""))</f>
        <v>Ocultar</v>
      </c>
    </row>
    <row r="44" spans="2:33" hidden="1" x14ac:dyDescent="0.3">
      <c r="B44" s="5"/>
      <c r="C44" s="56" t="s">
        <v>22</v>
      </c>
      <c r="D44" s="58">
        <f ca="1">('Market Share'!D141*$L$2)*(c.total.nova*$M$2)</f>
        <v>0</v>
      </c>
      <c r="E44" s="58">
        <f ca="1">('Market Share'!E141*$L$2)*(c.total.a*1)</f>
        <v>0</v>
      </c>
      <c r="F44" s="58">
        <f ca="1">('Market Share'!F141*$L$2)*(c.total.b*1)</f>
        <v>0</v>
      </c>
      <c r="G44" s="58">
        <f ca="1">('Market Share'!G141*$L$2)*(c.total.c*1)</f>
        <v>0</v>
      </c>
      <c r="H44" s="58">
        <f ca="1">('Market Share'!H141*$L$2)*(c.total.d*1)</f>
        <v>0</v>
      </c>
      <c r="I44" s="58">
        <f t="shared" ca="1" si="7"/>
        <v>0</v>
      </c>
      <c r="J44" s="48"/>
      <c r="K44" s="56" t="s">
        <v>22</v>
      </c>
      <c r="L44" s="58">
        <f ca="1">('Market Share'!L141*$L$2)*(c.total.nova*$M$2)</f>
        <v>0</v>
      </c>
      <c r="M44" s="58">
        <f ca="1">('Market Share'!M141*$L$2)*(c.total.a*1)</f>
        <v>0</v>
      </c>
      <c r="N44" s="58">
        <f ca="1">('Market Share'!N141*$L$2)*(c.total.b*1)</f>
        <v>0</v>
      </c>
      <c r="O44" s="58">
        <f ca="1">('Market Share'!O141*$L$2)*(c.total.c*1)</f>
        <v>0</v>
      </c>
      <c r="P44" s="58">
        <f ca="1">('Market Share'!P141*$L$2)*(c.total.d*1)</f>
        <v>0</v>
      </c>
      <c r="Q44" s="58">
        <f t="shared" ca="1" si="8"/>
        <v>0</v>
      </c>
      <c r="R44" s="6"/>
      <c r="AF44" s="109">
        <v>5</v>
      </c>
      <c r="AG44" s="109" t="str">
        <f>(IF(OR(AF44&gt;controle_formulario!$I$16,$C$39&gt;controle_formulario!$E$16),"Ocultar",""))</f>
        <v>Ocultar</v>
      </c>
    </row>
    <row r="45" spans="2:33" hidden="1" x14ac:dyDescent="0.3">
      <c r="B45" s="5"/>
      <c r="C45" s="56" t="s">
        <v>23</v>
      </c>
      <c r="D45" s="58">
        <f ca="1">('Market Share'!D142*$L$2)*(c.total.nova*$M$2)</f>
        <v>0</v>
      </c>
      <c r="E45" s="58">
        <f ca="1">('Market Share'!E142*$L$2)*(c.total.a*1)</f>
        <v>0</v>
      </c>
      <c r="F45" s="58">
        <f ca="1">('Market Share'!F142*$L$2)*(c.total.b*1)</f>
        <v>0</v>
      </c>
      <c r="G45" s="58">
        <f ca="1">('Market Share'!G142*$L$2)*(c.total.c*1)</f>
        <v>0</v>
      </c>
      <c r="H45" s="58">
        <f ca="1">('Market Share'!H142*$L$2)*(c.total.d*1)</f>
        <v>0</v>
      </c>
      <c r="I45" s="58">
        <f t="shared" ca="1" si="7"/>
        <v>0</v>
      </c>
      <c r="J45" s="48"/>
      <c r="K45" s="56" t="s">
        <v>23</v>
      </c>
      <c r="L45" s="58">
        <f ca="1">('Market Share'!L142*$L$2)*(c.total.nova*$M$2)</f>
        <v>0</v>
      </c>
      <c r="M45" s="58">
        <f ca="1">('Market Share'!M142*$L$2)*(c.total.a*1)</f>
        <v>0</v>
      </c>
      <c r="N45" s="58">
        <f ca="1">('Market Share'!N142*$L$2)*(c.total.b*1)</f>
        <v>0</v>
      </c>
      <c r="O45" s="58">
        <f ca="1">('Market Share'!O142*$L$2)*(c.total.c*1)</f>
        <v>0</v>
      </c>
      <c r="P45" s="58">
        <f ca="1">('Market Share'!P142*$L$2)*(c.total.d*1)</f>
        <v>0</v>
      </c>
      <c r="Q45" s="58">
        <f t="shared" ca="1" si="8"/>
        <v>0</v>
      </c>
      <c r="R45" s="6"/>
      <c r="AF45" s="109">
        <v>6</v>
      </c>
      <c r="AG45" s="109" t="str">
        <f>(IF(OR(AF45&gt;controle_formulario!$I$16,$C$39&gt;controle_formulario!$E$16),"Ocultar",""))</f>
        <v>Ocultar</v>
      </c>
    </row>
    <row r="46" spans="2:33" hidden="1" x14ac:dyDescent="0.3">
      <c r="B46" s="5"/>
      <c r="C46" s="56" t="s">
        <v>24</v>
      </c>
      <c r="D46" s="58">
        <f ca="1">('Market Share'!D143*$L$2)*(c.total.nova*$M$2)</f>
        <v>0</v>
      </c>
      <c r="E46" s="58">
        <f ca="1">('Market Share'!E143*$L$2)*(c.total.a*1)</f>
        <v>0</v>
      </c>
      <c r="F46" s="58">
        <f ca="1">('Market Share'!F143*$L$2)*(c.total.b*1)</f>
        <v>0</v>
      </c>
      <c r="G46" s="58">
        <f ca="1">('Market Share'!G143*$L$2)*(c.total.c*1)</f>
        <v>0</v>
      </c>
      <c r="H46" s="58">
        <f ca="1">('Market Share'!H143*$L$2)*(c.total.d*1)</f>
        <v>0</v>
      </c>
      <c r="I46" s="58">
        <f t="shared" ca="1" si="7"/>
        <v>0</v>
      </c>
      <c r="J46" s="48"/>
      <c r="K46" s="56" t="s">
        <v>24</v>
      </c>
      <c r="L46" s="58">
        <f ca="1">('Market Share'!L143*$L$2)*(c.total.nova*$M$2)</f>
        <v>0</v>
      </c>
      <c r="M46" s="58">
        <f ca="1">('Market Share'!M143*$L$2)*(c.total.a*1)</f>
        <v>0</v>
      </c>
      <c r="N46" s="58">
        <f ca="1">('Market Share'!N143*$L$2)*(c.total.b*1)</f>
        <v>0</v>
      </c>
      <c r="O46" s="58">
        <f ca="1">('Market Share'!O143*$L$2)*(c.total.c*1)</f>
        <v>0</v>
      </c>
      <c r="P46" s="58">
        <f ca="1">('Market Share'!P143*$L$2)*(c.total.d*1)</f>
        <v>0</v>
      </c>
      <c r="Q46" s="58">
        <f t="shared" ca="1" si="8"/>
        <v>0</v>
      </c>
      <c r="R46" s="6"/>
      <c r="AF46" s="109">
        <v>7</v>
      </c>
      <c r="AG46" s="109" t="str">
        <f>(IF(OR(AF46&gt;controle_formulario!$I$16,$C$39&gt;controle_formulario!$E$16),"Ocultar",""))</f>
        <v>Ocultar</v>
      </c>
    </row>
    <row r="47" spans="2:33" hidden="1" x14ac:dyDescent="0.3">
      <c r="B47" s="5"/>
      <c r="C47" s="56" t="s">
        <v>25</v>
      </c>
      <c r="D47" s="58">
        <f ca="1">('Market Share'!D144*$L$2)*(c.total.nova*$M$2)</f>
        <v>0</v>
      </c>
      <c r="E47" s="58">
        <f ca="1">('Market Share'!E144*$L$2)*(c.total.a*1)</f>
        <v>0</v>
      </c>
      <c r="F47" s="58">
        <f ca="1">('Market Share'!F144*$L$2)*(c.total.b*1)</f>
        <v>0</v>
      </c>
      <c r="G47" s="58">
        <f ca="1">('Market Share'!G144*$L$2)*(c.total.c*1)</f>
        <v>0</v>
      </c>
      <c r="H47" s="58">
        <f ca="1">('Market Share'!H144*$L$2)*(c.total.d*1)</f>
        <v>0</v>
      </c>
      <c r="I47" s="58">
        <f t="shared" ca="1" si="7"/>
        <v>0</v>
      </c>
      <c r="J47" s="48"/>
      <c r="K47" s="56" t="s">
        <v>25</v>
      </c>
      <c r="L47" s="58">
        <f ca="1">('Market Share'!L144*$L$2)*(c.total.nova*$M$2)</f>
        <v>0</v>
      </c>
      <c r="M47" s="58">
        <f ca="1">('Market Share'!M144*$L$2)*(c.total.a*1)</f>
        <v>0</v>
      </c>
      <c r="N47" s="58">
        <f ca="1">('Market Share'!N144*$L$2)*(c.total.b*1)</f>
        <v>0</v>
      </c>
      <c r="O47" s="58">
        <f ca="1">('Market Share'!O144*$L$2)*(c.total.c*1)</f>
        <v>0</v>
      </c>
      <c r="P47" s="58">
        <f ca="1">('Market Share'!P144*$L$2)*(c.total.d*1)</f>
        <v>0</v>
      </c>
      <c r="Q47" s="58">
        <f t="shared" ca="1" si="8"/>
        <v>0</v>
      </c>
      <c r="R47" s="6"/>
      <c r="AF47" s="109">
        <v>8</v>
      </c>
      <c r="AG47" s="109" t="str">
        <f>(IF(OR(AF47&gt;controle_formulario!$I$16,$C$39&gt;controle_formulario!$E$16),"Ocultar",""))</f>
        <v>Ocultar</v>
      </c>
    </row>
    <row r="48" spans="2:33" hidden="1" x14ac:dyDescent="0.3">
      <c r="B48" s="5"/>
      <c r="C48" s="56" t="s">
        <v>26</v>
      </c>
      <c r="D48" s="58">
        <f ca="1">('Market Share'!D145*$L$2)*(c.total.nova*$M$2)</f>
        <v>0</v>
      </c>
      <c r="E48" s="58">
        <f ca="1">('Market Share'!E145*$L$2)*(c.total.a*1)</f>
        <v>0</v>
      </c>
      <c r="F48" s="58">
        <f ca="1">('Market Share'!F145*$L$2)*(c.total.b*1)</f>
        <v>0</v>
      </c>
      <c r="G48" s="58">
        <f ca="1">('Market Share'!G145*$L$2)*(c.total.c*1)</f>
        <v>0</v>
      </c>
      <c r="H48" s="58">
        <f ca="1">('Market Share'!H145*$L$2)*(c.total.d*1)</f>
        <v>0</v>
      </c>
      <c r="I48" s="58">
        <f t="shared" ca="1" si="7"/>
        <v>0</v>
      </c>
      <c r="J48" s="48"/>
      <c r="K48" s="56" t="s">
        <v>26</v>
      </c>
      <c r="L48" s="58">
        <f ca="1">('Market Share'!L145*$L$2)*(c.total.nova*$M$2)</f>
        <v>0</v>
      </c>
      <c r="M48" s="58">
        <f ca="1">('Market Share'!M145*$L$2)*(c.total.a*1)</f>
        <v>0</v>
      </c>
      <c r="N48" s="58">
        <f ca="1">('Market Share'!N145*$L$2)*(c.total.b*1)</f>
        <v>0</v>
      </c>
      <c r="O48" s="58">
        <f ca="1">('Market Share'!O145*$L$2)*(c.total.c*1)</f>
        <v>0</v>
      </c>
      <c r="P48" s="58">
        <f ca="1">('Market Share'!P145*$L$2)*(c.total.d*1)</f>
        <v>0</v>
      </c>
      <c r="Q48" s="58">
        <f t="shared" ca="1" si="8"/>
        <v>0</v>
      </c>
      <c r="R48" s="6"/>
      <c r="AF48" s="109">
        <v>9</v>
      </c>
      <c r="AG48" s="109" t="str">
        <f>(IF(OR(AF48&gt;controle_formulario!$I$16,$C$39&gt;controle_formulario!$E$16),"Ocultar",""))</f>
        <v>Ocultar</v>
      </c>
    </row>
    <row r="49" spans="2:33" hidden="1" x14ac:dyDescent="0.3">
      <c r="B49" s="5"/>
      <c r="C49" s="59" t="s">
        <v>27</v>
      </c>
      <c r="D49" s="58">
        <f ca="1">('Market Share'!D146*$L$2)*(c.total.nova*$M$2)</f>
        <v>0</v>
      </c>
      <c r="E49" s="58">
        <f ca="1">('Market Share'!E146*$L$2)*(c.total.a*1)</f>
        <v>0</v>
      </c>
      <c r="F49" s="58">
        <f ca="1">('Market Share'!F146*$L$2)*(c.total.b*1)</f>
        <v>0</v>
      </c>
      <c r="G49" s="58">
        <f ca="1">('Market Share'!G146*$L$2)*(c.total.c*1)</f>
        <v>0</v>
      </c>
      <c r="H49" s="58">
        <f ca="1">('Market Share'!H146*$L$2)*(c.total.d*1)</f>
        <v>0</v>
      </c>
      <c r="I49" s="60">
        <f t="shared" ca="1" si="7"/>
        <v>0</v>
      </c>
      <c r="J49" s="48"/>
      <c r="K49" s="59" t="s">
        <v>27</v>
      </c>
      <c r="L49" s="58">
        <f ca="1">('Market Share'!L146*$L$2)*(c.total.nova*$M$2)</f>
        <v>0</v>
      </c>
      <c r="M49" s="58">
        <f ca="1">('Market Share'!M146*$L$2)*(c.total.a*1)</f>
        <v>0</v>
      </c>
      <c r="N49" s="58">
        <f ca="1">('Market Share'!N146*$L$2)*(c.total.b*1)</f>
        <v>0</v>
      </c>
      <c r="O49" s="58">
        <f ca="1">('Market Share'!O146*$L$2)*(c.total.c*1)</f>
        <v>0</v>
      </c>
      <c r="P49" s="58">
        <f ca="1">('Market Share'!P146*$L$2)*(c.total.d*1)</f>
        <v>0</v>
      </c>
      <c r="Q49" s="60">
        <f t="shared" ca="1" si="8"/>
        <v>0</v>
      </c>
      <c r="R49" s="6"/>
      <c r="AF49" s="109">
        <v>10</v>
      </c>
      <c r="AG49" s="109" t="str">
        <f>(IF(OR(AF49&gt;controle_formulario!$I$16,$C$39&gt;controle_formulario!$E$16),"Ocultar",""))</f>
        <v>Ocultar</v>
      </c>
    </row>
    <row r="50" spans="2:33" hidden="1" x14ac:dyDescent="0.3">
      <c r="B50" s="5"/>
      <c r="C50" s="62" t="s">
        <v>29</v>
      </c>
      <c r="D50" s="78">
        <f t="shared" ref="D50:I50" ca="1" si="9">SUM(D40:D49)</f>
        <v>0</v>
      </c>
      <c r="E50" s="78">
        <f t="shared" ca="1" si="9"/>
        <v>0</v>
      </c>
      <c r="F50" s="78">
        <f t="shared" ca="1" si="9"/>
        <v>0</v>
      </c>
      <c r="G50" s="78">
        <f t="shared" ca="1" si="9"/>
        <v>0</v>
      </c>
      <c r="H50" s="78">
        <f t="shared" ca="1" si="9"/>
        <v>0</v>
      </c>
      <c r="I50" s="78">
        <f t="shared" ca="1" si="9"/>
        <v>0</v>
      </c>
      <c r="J50" s="48"/>
      <c r="K50" s="62" t="s">
        <v>29</v>
      </c>
      <c r="L50" s="78">
        <f t="shared" ref="L50:Q50" ca="1" si="10">SUM(L40:L49)</f>
        <v>0</v>
      </c>
      <c r="M50" s="78">
        <f t="shared" ca="1" si="10"/>
        <v>0</v>
      </c>
      <c r="N50" s="78">
        <f t="shared" ca="1" si="10"/>
        <v>0</v>
      </c>
      <c r="O50" s="78">
        <f t="shared" ca="1" si="10"/>
        <v>0</v>
      </c>
      <c r="P50" s="78">
        <f t="shared" ca="1" si="10"/>
        <v>0</v>
      </c>
      <c r="Q50" s="78">
        <f t="shared" ca="1" si="10"/>
        <v>0</v>
      </c>
      <c r="R50" s="6"/>
      <c r="AG50" s="109" t="str">
        <f>IF($C$39&gt;controle_formulario!$E$16,"Ocultar","")</f>
        <v>Ocultar</v>
      </c>
    </row>
    <row r="51" spans="2:33" ht="15" customHeight="1" x14ac:dyDescent="0.3">
      <c r="B51" s="5"/>
      <c r="R51" s="6"/>
    </row>
    <row r="52" spans="2:33" x14ac:dyDescent="0.3">
      <c r="B52" s="5"/>
      <c r="R52" s="6"/>
    </row>
    <row r="53" spans="2:33" hidden="1" x14ac:dyDescent="0.3">
      <c r="B53" s="5"/>
      <c r="C53" s="73" t="str">
        <f>cen.alt6</f>
        <v>Taxa de difusão em X anos: XX%</v>
      </c>
      <c r="D53" s="29"/>
      <c r="E53" s="29"/>
      <c r="F53" s="29"/>
      <c r="G53" s="29"/>
      <c r="H53" s="29"/>
      <c r="I53" s="29"/>
      <c r="J53" s="48"/>
      <c r="K53" s="73" t="str">
        <f>cen.alt7</f>
        <v>Taxa de difusão em X anos: XX%</v>
      </c>
      <c r="L53" s="29"/>
      <c r="M53" s="29"/>
      <c r="N53" s="29"/>
      <c r="O53" s="29"/>
      <c r="P53" s="29"/>
      <c r="Q53" s="29"/>
      <c r="R53" s="6"/>
      <c r="AG53" s="109" t="str">
        <f>IF($C$55&gt;controle_formulario!$E$16,"Ocultar","")</f>
        <v>Ocultar</v>
      </c>
    </row>
    <row r="54" spans="2:33" hidden="1" x14ac:dyDescent="0.3">
      <c r="B54" s="5"/>
      <c r="C54" s="68"/>
      <c r="D54" s="29"/>
      <c r="E54" s="29"/>
      <c r="F54" s="29"/>
      <c r="G54" s="29"/>
      <c r="H54" s="29"/>
      <c r="I54" s="29"/>
      <c r="J54" s="48"/>
      <c r="K54" s="68"/>
      <c r="L54" s="29"/>
      <c r="M54" s="29"/>
      <c r="N54" s="29"/>
      <c r="O54" s="29"/>
      <c r="P54" s="29"/>
      <c r="Q54" s="29"/>
      <c r="R54" s="6"/>
      <c r="AG54" s="109" t="str">
        <f>IF($C$55&gt;controle_formulario!$E$16,"Ocultar","")</f>
        <v>Ocultar</v>
      </c>
    </row>
    <row r="55" spans="2:33" hidden="1" x14ac:dyDescent="0.3">
      <c r="B55" s="5"/>
      <c r="C55" s="113">
        <v>6</v>
      </c>
      <c r="D55" s="30" t="str">
        <f>trat.novo</f>
        <v>Pirtobrutinibe</v>
      </c>
      <c r="E55" s="30" t="str">
        <f>trat.a</f>
        <v xml:space="preserve"> Conjunto de Tratamentos-Padrão</v>
      </c>
      <c r="F55" s="30">
        <f>trat.b</f>
        <v>0</v>
      </c>
      <c r="G55" s="30">
        <f>trat.c</f>
        <v>0</v>
      </c>
      <c r="H55" s="30">
        <f>trat.d</f>
        <v>0</v>
      </c>
      <c r="I55" s="30" t="s">
        <v>29</v>
      </c>
      <c r="J55" s="48"/>
      <c r="K55" s="113">
        <v>7</v>
      </c>
      <c r="L55" s="30" t="str">
        <f>trat.novo</f>
        <v>Pirtobrutinibe</v>
      </c>
      <c r="M55" s="30" t="str">
        <f>trat.a</f>
        <v xml:space="preserve"> Conjunto de Tratamentos-Padrão</v>
      </c>
      <c r="N55" s="30">
        <f>trat.b</f>
        <v>0</v>
      </c>
      <c r="O55" s="30">
        <f>trat.c</f>
        <v>0</v>
      </c>
      <c r="P55" s="30">
        <f>trat.d</f>
        <v>0</v>
      </c>
      <c r="Q55" s="30" t="s">
        <v>29</v>
      </c>
      <c r="R55" s="6"/>
      <c r="AG55" s="109" t="str">
        <f>IF($C$55&gt;controle_formulario!$E$16,"Ocultar","")</f>
        <v>Ocultar</v>
      </c>
    </row>
    <row r="56" spans="2:33" hidden="1" x14ac:dyDescent="0.3">
      <c r="B56" s="5"/>
      <c r="C56" s="56" t="s">
        <v>18</v>
      </c>
      <c r="D56" s="58">
        <f ca="1">('Market Share'!D153*$L$2)*(c.total.nova*$M$2)</f>
        <v>0</v>
      </c>
      <c r="E56" s="58">
        <f ca="1">('Market Share'!E153*$L$2)*(c.total.a*1)</f>
        <v>0</v>
      </c>
      <c r="F56" s="58">
        <f ca="1">('Market Share'!F153*$L$2)*(c.total.b*1)</f>
        <v>0</v>
      </c>
      <c r="G56" s="58">
        <f ca="1">('Market Share'!G153*$L$2)*(c.total.c*1)</f>
        <v>0</v>
      </c>
      <c r="H56" s="58">
        <f ca="1">('Market Share'!H153*$L$2)*(c.total.d*1)</f>
        <v>0</v>
      </c>
      <c r="I56" s="58">
        <f ca="1">SUM(D56:H56)</f>
        <v>0</v>
      </c>
      <c r="J56" s="48"/>
      <c r="K56" s="56" t="s">
        <v>18</v>
      </c>
      <c r="L56" s="58">
        <f ca="1">('Market Share'!L153*$L$2)*(c.total.nova*$M$2)</f>
        <v>0</v>
      </c>
      <c r="M56" s="58">
        <f ca="1">('Market Share'!M153*$L$2)*(c.total.a*1)</f>
        <v>0</v>
      </c>
      <c r="N56" s="58">
        <f ca="1">('Market Share'!N153*$L$2)*(c.total.b*1)</f>
        <v>0</v>
      </c>
      <c r="O56" s="58">
        <f ca="1">('Market Share'!O153*$L$2)*(c.total.c*1)</f>
        <v>0</v>
      </c>
      <c r="P56" s="58">
        <f ca="1">('Market Share'!P153*$L$2)*(c.total.d*1)</f>
        <v>0</v>
      </c>
      <c r="Q56" s="58">
        <f ca="1">SUM(L56:P56)</f>
        <v>0</v>
      </c>
      <c r="R56" s="6"/>
      <c r="AG56" s="109" t="str">
        <f>IF($C$55&gt;controle_formulario!$E$16,"Ocultar","")</f>
        <v>Ocultar</v>
      </c>
    </row>
    <row r="57" spans="2:33" hidden="1" x14ac:dyDescent="0.3">
      <c r="B57" s="5"/>
      <c r="C57" s="56" t="s">
        <v>19</v>
      </c>
      <c r="D57" s="58">
        <f ca="1">('Market Share'!D154*$L$2)*(c.total.nova*$M$2)</f>
        <v>0</v>
      </c>
      <c r="E57" s="58">
        <f ca="1">('Market Share'!E154*$L$2)*(c.total.a*1)</f>
        <v>0</v>
      </c>
      <c r="F57" s="58">
        <f ca="1">('Market Share'!F154*$L$2)*(c.total.b*1)</f>
        <v>0</v>
      </c>
      <c r="G57" s="58">
        <f ca="1">('Market Share'!G154*$L$2)*(c.total.c*1)</f>
        <v>0</v>
      </c>
      <c r="H57" s="58">
        <f ca="1">('Market Share'!H154*$L$2)*(c.total.d*1)</f>
        <v>0</v>
      </c>
      <c r="I57" s="58">
        <f t="shared" ref="I57:I65" ca="1" si="11">SUM(D57:H57)</f>
        <v>0</v>
      </c>
      <c r="J57" s="48"/>
      <c r="K57" s="56" t="s">
        <v>19</v>
      </c>
      <c r="L57" s="58">
        <f ca="1">('Market Share'!L154*$L$2)*(c.total.nova*$M$2)</f>
        <v>0</v>
      </c>
      <c r="M57" s="58">
        <f ca="1">('Market Share'!M154*$L$2)*(c.total.a*1)</f>
        <v>0</v>
      </c>
      <c r="N57" s="58">
        <f ca="1">('Market Share'!N154*$L$2)*(c.total.b*1)</f>
        <v>0</v>
      </c>
      <c r="O57" s="58">
        <f ca="1">('Market Share'!O154*$L$2)*(c.total.c*1)</f>
        <v>0</v>
      </c>
      <c r="P57" s="58">
        <f ca="1">('Market Share'!P154*$L$2)*(c.total.d*1)</f>
        <v>0</v>
      </c>
      <c r="Q57" s="58">
        <f t="shared" ref="Q57:Q65" ca="1" si="12">SUM(L57:P57)</f>
        <v>0</v>
      </c>
      <c r="R57" s="6"/>
      <c r="AF57" s="109">
        <v>2</v>
      </c>
      <c r="AG57" s="109" t="str">
        <f>(IF(OR(AF57&gt;controle_formulario!$I$16,$C$55&gt;controle_formulario!$E$16),"Ocultar",""))</f>
        <v>Ocultar</v>
      </c>
    </row>
    <row r="58" spans="2:33" hidden="1" x14ac:dyDescent="0.3">
      <c r="B58" s="5"/>
      <c r="C58" s="56" t="s">
        <v>20</v>
      </c>
      <c r="D58" s="58">
        <f ca="1">('Market Share'!D155*$L$2)*(c.total.nova*$M$2)</f>
        <v>0</v>
      </c>
      <c r="E58" s="58">
        <f ca="1">('Market Share'!E155*$L$2)*(c.total.a*1)</f>
        <v>0</v>
      </c>
      <c r="F58" s="58">
        <f ca="1">('Market Share'!F155*$L$2)*(c.total.b*1)</f>
        <v>0</v>
      </c>
      <c r="G58" s="58">
        <f ca="1">('Market Share'!G155*$L$2)*(c.total.c*1)</f>
        <v>0</v>
      </c>
      <c r="H58" s="58">
        <f ca="1">('Market Share'!H155*$L$2)*(c.total.d*1)</f>
        <v>0</v>
      </c>
      <c r="I58" s="58">
        <f t="shared" ca="1" si="11"/>
        <v>0</v>
      </c>
      <c r="J58" s="48"/>
      <c r="K58" s="56" t="s">
        <v>20</v>
      </c>
      <c r="L58" s="58">
        <f ca="1">('Market Share'!L155*$L$2)*(c.total.nova*$M$2)</f>
        <v>0</v>
      </c>
      <c r="M58" s="58">
        <f ca="1">('Market Share'!M155*$L$2)*(c.total.a*1)</f>
        <v>0</v>
      </c>
      <c r="N58" s="58">
        <f ca="1">('Market Share'!N155*$L$2)*(c.total.b*1)</f>
        <v>0</v>
      </c>
      <c r="O58" s="58">
        <f ca="1">('Market Share'!O155*$L$2)*(c.total.c*1)</f>
        <v>0</v>
      </c>
      <c r="P58" s="58">
        <f ca="1">('Market Share'!P155*$L$2)*(c.total.d*1)</f>
        <v>0</v>
      </c>
      <c r="Q58" s="58">
        <f t="shared" ca="1" si="12"/>
        <v>0</v>
      </c>
      <c r="R58" s="6"/>
      <c r="AF58" s="109">
        <v>3</v>
      </c>
      <c r="AG58" s="109" t="str">
        <f>(IF(OR(AF58&gt;controle_formulario!$I$16,$C$55&gt;controle_formulario!$E$16),"Ocultar",""))</f>
        <v>Ocultar</v>
      </c>
    </row>
    <row r="59" spans="2:33" hidden="1" x14ac:dyDescent="0.3">
      <c r="B59" s="5"/>
      <c r="C59" s="56" t="s">
        <v>21</v>
      </c>
      <c r="D59" s="58">
        <f ca="1">('Market Share'!D156*$L$2)*(c.total.nova*$M$2)</f>
        <v>0</v>
      </c>
      <c r="E59" s="58">
        <f ca="1">('Market Share'!E156*$L$2)*(c.total.a*1)</f>
        <v>0</v>
      </c>
      <c r="F59" s="58">
        <f ca="1">('Market Share'!F156*$L$2)*(c.total.b*1)</f>
        <v>0</v>
      </c>
      <c r="G59" s="58">
        <f ca="1">('Market Share'!G156*$L$2)*(c.total.c*1)</f>
        <v>0</v>
      </c>
      <c r="H59" s="58">
        <f ca="1">('Market Share'!H156*$L$2)*(c.total.d*1)</f>
        <v>0</v>
      </c>
      <c r="I59" s="58">
        <f t="shared" ca="1" si="11"/>
        <v>0</v>
      </c>
      <c r="J59" s="48"/>
      <c r="K59" s="56" t="s">
        <v>21</v>
      </c>
      <c r="L59" s="58">
        <f ca="1">('Market Share'!L156*$L$2)*(c.total.nova*$M$2)</f>
        <v>0</v>
      </c>
      <c r="M59" s="58">
        <f ca="1">('Market Share'!M156*$L$2)*(c.total.a*1)</f>
        <v>0</v>
      </c>
      <c r="N59" s="58">
        <f ca="1">('Market Share'!N156*$L$2)*(c.total.b*1)</f>
        <v>0</v>
      </c>
      <c r="O59" s="58">
        <f ca="1">('Market Share'!O156*$L$2)*(c.total.c*1)</f>
        <v>0</v>
      </c>
      <c r="P59" s="58">
        <f ca="1">('Market Share'!P156*$L$2)*(c.total.d*1)</f>
        <v>0</v>
      </c>
      <c r="Q59" s="58">
        <f t="shared" ca="1" si="12"/>
        <v>0</v>
      </c>
      <c r="R59" s="6"/>
      <c r="AF59" s="109">
        <v>4</v>
      </c>
      <c r="AG59" s="109" t="str">
        <f>(IF(OR(AF59&gt;controle_formulario!$I$16,$C$55&gt;controle_formulario!$E$16),"Ocultar",""))</f>
        <v>Ocultar</v>
      </c>
    </row>
    <row r="60" spans="2:33" hidden="1" x14ac:dyDescent="0.3">
      <c r="B60" s="5"/>
      <c r="C60" s="56" t="s">
        <v>22</v>
      </c>
      <c r="D60" s="58">
        <f ca="1">('Market Share'!D157*$L$2)*(c.total.nova*$M$2)</f>
        <v>0</v>
      </c>
      <c r="E60" s="58">
        <f ca="1">('Market Share'!E157*$L$2)*(c.total.a*1)</f>
        <v>0</v>
      </c>
      <c r="F60" s="58">
        <f ca="1">('Market Share'!F157*$L$2)*(c.total.b*1)</f>
        <v>0</v>
      </c>
      <c r="G60" s="58">
        <f ca="1">('Market Share'!G157*$L$2)*(c.total.c*1)</f>
        <v>0</v>
      </c>
      <c r="H60" s="58">
        <f ca="1">('Market Share'!H157*$L$2)*(c.total.d*1)</f>
        <v>0</v>
      </c>
      <c r="I60" s="58">
        <f t="shared" ca="1" si="11"/>
        <v>0</v>
      </c>
      <c r="J60" s="48"/>
      <c r="K60" s="56" t="s">
        <v>22</v>
      </c>
      <c r="L60" s="58">
        <f ca="1">('Market Share'!L157*$L$2)*(c.total.nova*$M$2)</f>
        <v>0</v>
      </c>
      <c r="M60" s="58">
        <f ca="1">('Market Share'!M157*$L$2)*(c.total.a*1)</f>
        <v>0</v>
      </c>
      <c r="N60" s="58">
        <f ca="1">('Market Share'!N157*$L$2)*(c.total.b*1)</f>
        <v>0</v>
      </c>
      <c r="O60" s="58">
        <f ca="1">('Market Share'!O157*$L$2)*(c.total.c*1)</f>
        <v>0</v>
      </c>
      <c r="P60" s="58">
        <f ca="1">('Market Share'!P157*$L$2)*(c.total.d*1)</f>
        <v>0</v>
      </c>
      <c r="Q60" s="58">
        <f t="shared" ca="1" si="12"/>
        <v>0</v>
      </c>
      <c r="R60" s="6"/>
      <c r="AF60" s="109">
        <v>5</v>
      </c>
      <c r="AG60" s="109" t="str">
        <f>(IF(OR(AF60&gt;controle_formulario!$I$16,$C$55&gt;controle_formulario!$E$16),"Ocultar",""))</f>
        <v>Ocultar</v>
      </c>
    </row>
    <row r="61" spans="2:33" hidden="1" x14ac:dyDescent="0.3">
      <c r="B61" s="5"/>
      <c r="C61" s="56" t="s">
        <v>23</v>
      </c>
      <c r="D61" s="58">
        <f ca="1">('Market Share'!D158*$L$2)*(c.total.nova*$M$2)</f>
        <v>0</v>
      </c>
      <c r="E61" s="58">
        <f ca="1">('Market Share'!E158*$L$2)*(c.total.a*1)</f>
        <v>0</v>
      </c>
      <c r="F61" s="58">
        <f ca="1">('Market Share'!F158*$L$2)*(c.total.b*1)</f>
        <v>0</v>
      </c>
      <c r="G61" s="58">
        <f ca="1">('Market Share'!G158*$L$2)*(c.total.c*1)</f>
        <v>0</v>
      </c>
      <c r="H61" s="58">
        <f ca="1">('Market Share'!H158*$L$2)*(c.total.d*1)</f>
        <v>0</v>
      </c>
      <c r="I61" s="58">
        <f t="shared" ca="1" si="11"/>
        <v>0</v>
      </c>
      <c r="J61" s="48"/>
      <c r="K61" s="56" t="s">
        <v>23</v>
      </c>
      <c r="L61" s="58">
        <f ca="1">('Market Share'!L158*$L$2)*(c.total.nova*$M$2)</f>
        <v>0</v>
      </c>
      <c r="M61" s="58">
        <f ca="1">('Market Share'!M158*$L$2)*(c.total.a*1)</f>
        <v>0</v>
      </c>
      <c r="N61" s="58">
        <f ca="1">('Market Share'!N158*$L$2)*(c.total.b*1)</f>
        <v>0</v>
      </c>
      <c r="O61" s="58">
        <f ca="1">('Market Share'!O158*$L$2)*(c.total.c*1)</f>
        <v>0</v>
      </c>
      <c r="P61" s="58">
        <f ca="1">('Market Share'!P158*$L$2)*(c.total.d*1)</f>
        <v>0</v>
      </c>
      <c r="Q61" s="58">
        <f t="shared" ca="1" si="12"/>
        <v>0</v>
      </c>
      <c r="R61" s="6"/>
      <c r="AF61" s="109">
        <v>6</v>
      </c>
      <c r="AG61" s="109" t="str">
        <f>(IF(OR(AF61&gt;controle_formulario!$I$16,$C$55&gt;controle_formulario!$E$16),"Ocultar",""))</f>
        <v>Ocultar</v>
      </c>
    </row>
    <row r="62" spans="2:33" hidden="1" x14ac:dyDescent="0.3">
      <c r="B62" s="5"/>
      <c r="C62" s="56" t="s">
        <v>24</v>
      </c>
      <c r="D62" s="58">
        <f ca="1">('Market Share'!D159*$L$2)*(c.total.nova*$M$2)</f>
        <v>0</v>
      </c>
      <c r="E62" s="58">
        <f ca="1">('Market Share'!E159*$L$2)*(c.total.a*1)</f>
        <v>0</v>
      </c>
      <c r="F62" s="58">
        <f ca="1">('Market Share'!F159*$L$2)*(c.total.b*1)</f>
        <v>0</v>
      </c>
      <c r="G62" s="58">
        <f ca="1">('Market Share'!G159*$L$2)*(c.total.c*1)</f>
        <v>0</v>
      </c>
      <c r="H62" s="58">
        <f ca="1">('Market Share'!H159*$L$2)*(c.total.d*1)</f>
        <v>0</v>
      </c>
      <c r="I62" s="58">
        <f t="shared" ca="1" si="11"/>
        <v>0</v>
      </c>
      <c r="J62" s="48"/>
      <c r="K62" s="56" t="s">
        <v>24</v>
      </c>
      <c r="L62" s="58">
        <f ca="1">('Market Share'!L159*$L$2)*(c.total.nova*$M$2)</f>
        <v>0</v>
      </c>
      <c r="M62" s="58">
        <f ca="1">('Market Share'!M159*$L$2)*(c.total.a*1)</f>
        <v>0</v>
      </c>
      <c r="N62" s="58">
        <f ca="1">('Market Share'!N159*$L$2)*(c.total.b*1)</f>
        <v>0</v>
      </c>
      <c r="O62" s="58">
        <f ca="1">('Market Share'!O159*$L$2)*(c.total.c*1)</f>
        <v>0</v>
      </c>
      <c r="P62" s="58">
        <f ca="1">('Market Share'!P159*$L$2)*(c.total.d*1)</f>
        <v>0</v>
      </c>
      <c r="Q62" s="58">
        <f t="shared" ca="1" si="12"/>
        <v>0</v>
      </c>
      <c r="R62" s="6"/>
      <c r="AF62" s="109">
        <v>7</v>
      </c>
      <c r="AG62" s="109" t="str">
        <f>(IF(OR(AF62&gt;controle_formulario!$I$16,$C$55&gt;controle_formulario!$E$16),"Ocultar",""))</f>
        <v>Ocultar</v>
      </c>
    </row>
    <row r="63" spans="2:33" hidden="1" x14ac:dyDescent="0.3">
      <c r="B63" s="5"/>
      <c r="C63" s="56" t="s">
        <v>25</v>
      </c>
      <c r="D63" s="58">
        <f ca="1">('Market Share'!D160*$L$2)*(c.total.nova*$M$2)</f>
        <v>0</v>
      </c>
      <c r="E63" s="58">
        <f ca="1">('Market Share'!E160*$L$2)*(c.total.a*1)</f>
        <v>0</v>
      </c>
      <c r="F63" s="58">
        <f ca="1">('Market Share'!F160*$L$2)*(c.total.b*1)</f>
        <v>0</v>
      </c>
      <c r="G63" s="58">
        <f ca="1">('Market Share'!G160*$L$2)*(c.total.c*1)</f>
        <v>0</v>
      </c>
      <c r="H63" s="58">
        <f ca="1">('Market Share'!H160*$L$2)*(c.total.d*1)</f>
        <v>0</v>
      </c>
      <c r="I63" s="58">
        <f t="shared" ca="1" si="11"/>
        <v>0</v>
      </c>
      <c r="J63" s="48"/>
      <c r="K63" s="56" t="s">
        <v>25</v>
      </c>
      <c r="L63" s="58">
        <f ca="1">('Market Share'!L160*$L$2)*(c.total.nova*$M$2)</f>
        <v>0</v>
      </c>
      <c r="M63" s="58">
        <f ca="1">('Market Share'!M160*$L$2)*(c.total.a*1)</f>
        <v>0</v>
      </c>
      <c r="N63" s="58">
        <f ca="1">('Market Share'!N160*$L$2)*(c.total.b*1)</f>
        <v>0</v>
      </c>
      <c r="O63" s="58">
        <f ca="1">('Market Share'!O160*$L$2)*(c.total.c*1)</f>
        <v>0</v>
      </c>
      <c r="P63" s="58">
        <f ca="1">('Market Share'!P160*$L$2)*(c.total.d*1)</f>
        <v>0</v>
      </c>
      <c r="Q63" s="58">
        <f t="shared" ca="1" si="12"/>
        <v>0</v>
      </c>
      <c r="R63" s="6"/>
      <c r="AF63" s="109">
        <v>8</v>
      </c>
      <c r="AG63" s="109" t="str">
        <f>(IF(OR(AF63&gt;controle_formulario!$I$16,$C$55&gt;controle_formulario!$E$16),"Ocultar",""))</f>
        <v>Ocultar</v>
      </c>
    </row>
    <row r="64" spans="2:33" hidden="1" x14ac:dyDescent="0.3">
      <c r="B64" s="5"/>
      <c r="C64" s="56" t="s">
        <v>26</v>
      </c>
      <c r="D64" s="58">
        <f ca="1">('Market Share'!D161*$L$2)*(c.total.nova*$M$2)</f>
        <v>0</v>
      </c>
      <c r="E64" s="58">
        <f ca="1">('Market Share'!E161*$L$2)*(c.total.a*1)</f>
        <v>0</v>
      </c>
      <c r="F64" s="58">
        <f ca="1">('Market Share'!F161*$L$2)*(c.total.b*1)</f>
        <v>0</v>
      </c>
      <c r="G64" s="58">
        <f ca="1">('Market Share'!G161*$L$2)*(c.total.c*1)</f>
        <v>0</v>
      </c>
      <c r="H64" s="58">
        <f ca="1">('Market Share'!H161*$L$2)*(c.total.d*1)</f>
        <v>0</v>
      </c>
      <c r="I64" s="58">
        <f t="shared" ca="1" si="11"/>
        <v>0</v>
      </c>
      <c r="J64" s="48"/>
      <c r="K64" s="56" t="s">
        <v>26</v>
      </c>
      <c r="L64" s="58">
        <f ca="1">('Market Share'!L161*$L$2)*(c.total.nova*$M$2)</f>
        <v>0</v>
      </c>
      <c r="M64" s="58">
        <f ca="1">('Market Share'!M161*$L$2)*(c.total.a*1)</f>
        <v>0</v>
      </c>
      <c r="N64" s="58">
        <f ca="1">('Market Share'!N161*$L$2)*(c.total.b*1)</f>
        <v>0</v>
      </c>
      <c r="O64" s="58">
        <f ca="1">('Market Share'!O161*$L$2)*(c.total.c*1)</f>
        <v>0</v>
      </c>
      <c r="P64" s="58">
        <f ca="1">('Market Share'!P161*$L$2)*(c.total.d*1)</f>
        <v>0</v>
      </c>
      <c r="Q64" s="58">
        <f t="shared" ca="1" si="12"/>
        <v>0</v>
      </c>
      <c r="R64" s="6"/>
      <c r="AF64" s="109">
        <v>9</v>
      </c>
      <c r="AG64" s="109" t="str">
        <f>(IF(OR(AF64&gt;controle_formulario!$I$16,$C$55&gt;controle_formulario!$E$16),"Ocultar",""))</f>
        <v>Ocultar</v>
      </c>
    </row>
    <row r="65" spans="2:33" hidden="1" x14ac:dyDescent="0.3">
      <c r="B65" s="5"/>
      <c r="C65" s="59" t="s">
        <v>27</v>
      </c>
      <c r="D65" s="58">
        <f ca="1">('Market Share'!D162*$L$2)*(c.total.nova*$M$2)</f>
        <v>0</v>
      </c>
      <c r="E65" s="58">
        <f ca="1">('Market Share'!E162*$L$2)*(c.total.a*1)</f>
        <v>0</v>
      </c>
      <c r="F65" s="58">
        <f ca="1">('Market Share'!F162*$L$2)*(c.total.b*1)</f>
        <v>0</v>
      </c>
      <c r="G65" s="58">
        <f ca="1">('Market Share'!G162*$L$2)*(c.total.c*1)</f>
        <v>0</v>
      </c>
      <c r="H65" s="58">
        <f ca="1">('Market Share'!H162*$L$2)*(c.total.d*1)</f>
        <v>0</v>
      </c>
      <c r="I65" s="60">
        <f t="shared" ca="1" si="11"/>
        <v>0</v>
      </c>
      <c r="J65" s="48"/>
      <c r="K65" s="59" t="s">
        <v>27</v>
      </c>
      <c r="L65" s="58">
        <f ca="1">('Market Share'!L162*$L$2)*(c.total.nova*$M$2)</f>
        <v>0</v>
      </c>
      <c r="M65" s="58">
        <f ca="1">('Market Share'!M162*$L$2)*(c.total.a*1)</f>
        <v>0</v>
      </c>
      <c r="N65" s="58">
        <f ca="1">('Market Share'!N162*$L$2)*(c.total.b*1)</f>
        <v>0</v>
      </c>
      <c r="O65" s="58">
        <f ca="1">('Market Share'!O162*$L$2)*(c.total.c*1)</f>
        <v>0</v>
      </c>
      <c r="P65" s="58">
        <f ca="1">('Market Share'!P162*$L$2)*(c.total.d*1)</f>
        <v>0</v>
      </c>
      <c r="Q65" s="60">
        <f t="shared" ca="1" si="12"/>
        <v>0</v>
      </c>
      <c r="R65" s="6"/>
      <c r="AF65" s="109">
        <v>10</v>
      </c>
      <c r="AG65" s="109" t="str">
        <f>(IF(OR(AF65&gt;controle_formulario!$I$16,$C$55&gt;controle_formulario!$E$16),"Ocultar",""))</f>
        <v>Ocultar</v>
      </c>
    </row>
    <row r="66" spans="2:33" hidden="1" x14ac:dyDescent="0.3">
      <c r="B66" s="5"/>
      <c r="C66" s="62" t="s">
        <v>29</v>
      </c>
      <c r="D66" s="78">
        <f t="shared" ref="D66:I66" ca="1" si="13">SUM(D56:D65)</f>
        <v>0</v>
      </c>
      <c r="E66" s="78">
        <f t="shared" ca="1" si="13"/>
        <v>0</v>
      </c>
      <c r="F66" s="78">
        <f t="shared" ca="1" si="13"/>
        <v>0</v>
      </c>
      <c r="G66" s="78">
        <f t="shared" ca="1" si="13"/>
        <v>0</v>
      </c>
      <c r="H66" s="78">
        <f t="shared" ca="1" si="13"/>
        <v>0</v>
      </c>
      <c r="I66" s="78">
        <f t="shared" ca="1" si="13"/>
        <v>0</v>
      </c>
      <c r="J66" s="48"/>
      <c r="K66" s="62" t="s">
        <v>29</v>
      </c>
      <c r="L66" s="78">
        <f t="shared" ref="L66:Q66" ca="1" si="14">SUM(L56:L65)</f>
        <v>0</v>
      </c>
      <c r="M66" s="78">
        <f t="shared" ca="1" si="14"/>
        <v>0</v>
      </c>
      <c r="N66" s="78">
        <f t="shared" ca="1" si="14"/>
        <v>0</v>
      </c>
      <c r="O66" s="78">
        <f t="shared" ca="1" si="14"/>
        <v>0</v>
      </c>
      <c r="P66" s="78">
        <f t="shared" ca="1" si="14"/>
        <v>0</v>
      </c>
      <c r="Q66" s="78">
        <f t="shared" ca="1" si="14"/>
        <v>0</v>
      </c>
      <c r="R66" s="6"/>
      <c r="AG66" s="109" t="str">
        <f>IF($C$55&gt;controle_formulario!$E$16,"Ocultar","")</f>
        <v>Ocultar</v>
      </c>
    </row>
    <row r="67" spans="2:33" x14ac:dyDescent="0.3">
      <c r="B67" s="5"/>
      <c r="R67" s="6"/>
    </row>
    <row r="68" spans="2:33" x14ac:dyDescent="0.3">
      <c r="B68" s="5"/>
      <c r="R68" s="6"/>
    </row>
    <row r="69" spans="2:33" hidden="1" x14ac:dyDescent="0.3">
      <c r="B69" s="5"/>
      <c r="C69" s="73" t="str">
        <f>cen.alt8</f>
        <v>Taxa de difusão em X anos: XX%</v>
      </c>
      <c r="D69" s="29"/>
      <c r="E69" s="29"/>
      <c r="F69" s="29"/>
      <c r="G69" s="29"/>
      <c r="H69" s="29"/>
      <c r="I69" s="29"/>
      <c r="J69" s="48"/>
      <c r="K69" s="73" t="str">
        <f>cen.alt9</f>
        <v>Taxa de difusão em X anos: XX%</v>
      </c>
      <c r="L69" s="29"/>
      <c r="M69" s="29"/>
      <c r="N69" s="29"/>
      <c r="O69" s="29"/>
      <c r="P69" s="29"/>
      <c r="Q69" s="29"/>
      <c r="R69" s="6"/>
      <c r="AG69" s="109" t="str">
        <f>IF($C$71&gt;controle_formulario!$E$16,"Ocultar","")</f>
        <v>Ocultar</v>
      </c>
    </row>
    <row r="70" spans="2:33" hidden="1" x14ac:dyDescent="0.3">
      <c r="B70" s="5"/>
      <c r="C70" s="68"/>
      <c r="D70" s="29"/>
      <c r="E70" s="29"/>
      <c r="F70" s="29"/>
      <c r="G70" s="29"/>
      <c r="H70" s="29"/>
      <c r="I70" s="29"/>
      <c r="J70" s="48"/>
      <c r="K70" s="68"/>
      <c r="L70" s="29"/>
      <c r="M70" s="29"/>
      <c r="N70" s="29"/>
      <c r="O70" s="29"/>
      <c r="P70" s="29"/>
      <c r="Q70" s="29"/>
      <c r="R70" s="6"/>
      <c r="AG70" s="109" t="str">
        <f>IF($C$71&gt;controle_formulario!$E$16,"Ocultar","")</f>
        <v>Ocultar</v>
      </c>
    </row>
    <row r="71" spans="2:33" hidden="1" x14ac:dyDescent="0.3">
      <c r="B71" s="5"/>
      <c r="C71" s="113">
        <v>8</v>
      </c>
      <c r="D71" s="30" t="str">
        <f>trat.novo</f>
        <v>Pirtobrutinibe</v>
      </c>
      <c r="E71" s="30" t="str">
        <f>trat.a</f>
        <v xml:space="preserve"> Conjunto de Tratamentos-Padrão</v>
      </c>
      <c r="F71" s="30">
        <f>trat.b</f>
        <v>0</v>
      </c>
      <c r="G71" s="30">
        <f>trat.c</f>
        <v>0</v>
      </c>
      <c r="H71" s="30">
        <f>trat.d</f>
        <v>0</v>
      </c>
      <c r="I71" s="30" t="s">
        <v>29</v>
      </c>
      <c r="J71" s="48"/>
      <c r="K71" s="113">
        <v>9</v>
      </c>
      <c r="L71" s="30" t="str">
        <f>trat.novo</f>
        <v>Pirtobrutinibe</v>
      </c>
      <c r="M71" s="30" t="str">
        <f>trat.a</f>
        <v xml:space="preserve"> Conjunto de Tratamentos-Padrão</v>
      </c>
      <c r="N71" s="30">
        <f>trat.b</f>
        <v>0</v>
      </c>
      <c r="O71" s="30">
        <f>trat.c</f>
        <v>0</v>
      </c>
      <c r="P71" s="30">
        <f>trat.d</f>
        <v>0</v>
      </c>
      <c r="Q71" s="30" t="s">
        <v>29</v>
      </c>
      <c r="R71" s="6"/>
      <c r="AG71" s="109" t="str">
        <f>IF($C$71&gt;controle_formulario!$E$16,"Ocultar","")</f>
        <v>Ocultar</v>
      </c>
    </row>
    <row r="72" spans="2:33" hidden="1" x14ac:dyDescent="0.3">
      <c r="B72" s="5"/>
      <c r="C72" s="56" t="s">
        <v>18</v>
      </c>
      <c r="D72" s="58">
        <f ca="1">('Market Share'!D169*$L$2)*(c.total.nova*$M$2)</f>
        <v>0</v>
      </c>
      <c r="E72" s="58">
        <f ca="1">('Market Share'!E169*$L$2)*(c.total.a*1)</f>
        <v>0</v>
      </c>
      <c r="F72" s="58">
        <f ca="1">('Market Share'!F169*$L$2)*(c.total.b*1)</f>
        <v>0</v>
      </c>
      <c r="G72" s="58">
        <f ca="1">('Market Share'!G169*$L$2)*(c.total.c*1)</f>
        <v>0</v>
      </c>
      <c r="H72" s="58">
        <f ca="1">('Market Share'!H169*$L$2)*(c.total.d*1)</f>
        <v>0</v>
      </c>
      <c r="I72" s="58">
        <f ca="1">SUM(D72:H72)</f>
        <v>0</v>
      </c>
      <c r="J72" s="48"/>
      <c r="K72" s="56" t="s">
        <v>18</v>
      </c>
      <c r="L72" s="58">
        <f ca="1">('Market Share'!L169*$L$2)*(c.total.nova*$M$2)</f>
        <v>0</v>
      </c>
      <c r="M72" s="58">
        <f ca="1">('Market Share'!M169*$L$2)*(c.total.a*1)</f>
        <v>0</v>
      </c>
      <c r="N72" s="58">
        <f ca="1">('Market Share'!N169*$L$2)*(c.total.b*1)</f>
        <v>0</v>
      </c>
      <c r="O72" s="58">
        <f ca="1">('Market Share'!O169*$L$2)*(c.total.c*1)</f>
        <v>0</v>
      </c>
      <c r="P72" s="58">
        <f ca="1">('Market Share'!P169*$L$2)*(c.total.d*1)</f>
        <v>0</v>
      </c>
      <c r="Q72" s="58">
        <f ca="1">SUM(L72:P72)</f>
        <v>0</v>
      </c>
      <c r="R72" s="6"/>
      <c r="AG72" s="109" t="str">
        <f>IF($C$71&gt;controle_formulario!$E$16,"Ocultar","")</f>
        <v>Ocultar</v>
      </c>
    </row>
    <row r="73" spans="2:33" hidden="1" x14ac:dyDescent="0.3">
      <c r="B73" s="5"/>
      <c r="C73" s="56" t="s">
        <v>19</v>
      </c>
      <c r="D73" s="58">
        <f ca="1">('Market Share'!D170*$L$2)*(c.total.nova*$M$2)</f>
        <v>0</v>
      </c>
      <c r="E73" s="58">
        <f ca="1">('Market Share'!E170*$L$2)*(c.total.a*1)</f>
        <v>0</v>
      </c>
      <c r="F73" s="58">
        <f ca="1">('Market Share'!F170*$L$2)*(c.total.b*1)</f>
        <v>0</v>
      </c>
      <c r="G73" s="58">
        <f ca="1">('Market Share'!G170*$L$2)*(c.total.c*1)</f>
        <v>0</v>
      </c>
      <c r="H73" s="58">
        <f ca="1">('Market Share'!H170*$L$2)*(c.total.d*1)</f>
        <v>0</v>
      </c>
      <c r="I73" s="58">
        <f t="shared" ref="I73:I81" ca="1" si="15">SUM(D73:H73)</f>
        <v>0</v>
      </c>
      <c r="J73" s="48"/>
      <c r="K73" s="56" t="s">
        <v>19</v>
      </c>
      <c r="L73" s="58">
        <f ca="1">('Market Share'!L170*$L$2)*(c.total.nova*$M$2)</f>
        <v>0</v>
      </c>
      <c r="M73" s="58">
        <f ca="1">('Market Share'!M170*$L$2)*(c.total.a*1)</f>
        <v>0</v>
      </c>
      <c r="N73" s="58">
        <f ca="1">('Market Share'!N170*$L$2)*(c.total.b*1)</f>
        <v>0</v>
      </c>
      <c r="O73" s="58">
        <f ca="1">('Market Share'!O170*$L$2)*(c.total.c*1)</f>
        <v>0</v>
      </c>
      <c r="P73" s="58">
        <f ca="1">('Market Share'!P170*$L$2)*(c.total.d*1)</f>
        <v>0</v>
      </c>
      <c r="Q73" s="58">
        <f t="shared" ref="Q73:Q81" ca="1" si="16">SUM(L73:P73)</f>
        <v>0</v>
      </c>
      <c r="R73" s="6"/>
      <c r="AF73" s="109">
        <v>2</v>
      </c>
      <c r="AG73" s="109" t="str">
        <f>(IF(OR(AF73&gt;controle_formulario!$I$16,$C$71&gt;controle_formulario!$E$16),"Ocultar",""))</f>
        <v>Ocultar</v>
      </c>
    </row>
    <row r="74" spans="2:33" hidden="1" x14ac:dyDescent="0.3">
      <c r="B74" s="5"/>
      <c r="C74" s="56" t="s">
        <v>20</v>
      </c>
      <c r="D74" s="58">
        <f ca="1">('Market Share'!D171*$L$2)*(c.total.nova*$M$2)</f>
        <v>0</v>
      </c>
      <c r="E74" s="58">
        <f ca="1">('Market Share'!E171*$L$2)*(c.total.a*1)</f>
        <v>0</v>
      </c>
      <c r="F74" s="58">
        <f ca="1">('Market Share'!F171*$L$2)*(c.total.b*1)</f>
        <v>0</v>
      </c>
      <c r="G74" s="58">
        <f ca="1">('Market Share'!G171*$L$2)*(c.total.c*1)</f>
        <v>0</v>
      </c>
      <c r="H74" s="58">
        <f ca="1">('Market Share'!H171*$L$2)*(c.total.d*1)</f>
        <v>0</v>
      </c>
      <c r="I74" s="58">
        <f t="shared" ca="1" si="15"/>
        <v>0</v>
      </c>
      <c r="J74" s="48"/>
      <c r="K74" s="56" t="s">
        <v>20</v>
      </c>
      <c r="L74" s="58">
        <f ca="1">('Market Share'!L171*$L$2)*(c.total.nova*$M$2)</f>
        <v>0</v>
      </c>
      <c r="M74" s="58">
        <f ca="1">('Market Share'!M171*$L$2)*(c.total.a*1)</f>
        <v>0</v>
      </c>
      <c r="N74" s="58">
        <f ca="1">('Market Share'!N171*$L$2)*(c.total.b*1)</f>
        <v>0</v>
      </c>
      <c r="O74" s="58">
        <f ca="1">('Market Share'!O171*$L$2)*(c.total.c*1)</f>
        <v>0</v>
      </c>
      <c r="P74" s="58">
        <f ca="1">('Market Share'!P171*$L$2)*(c.total.d*1)</f>
        <v>0</v>
      </c>
      <c r="Q74" s="58">
        <f t="shared" ca="1" si="16"/>
        <v>0</v>
      </c>
      <c r="R74" s="6"/>
      <c r="AF74" s="109">
        <v>3</v>
      </c>
      <c r="AG74" s="109" t="str">
        <f>(IF(OR(AF74&gt;controle_formulario!$I$16,$C$71&gt;controle_formulario!$E$16),"Ocultar",""))</f>
        <v>Ocultar</v>
      </c>
    </row>
    <row r="75" spans="2:33" hidden="1" x14ac:dyDescent="0.3">
      <c r="B75" s="5"/>
      <c r="C75" s="56" t="s">
        <v>21</v>
      </c>
      <c r="D75" s="58">
        <f ca="1">('Market Share'!D172*$L$2)*(c.total.nova*$M$2)</f>
        <v>0</v>
      </c>
      <c r="E75" s="58">
        <f ca="1">('Market Share'!E172*$L$2)*(c.total.a*1)</f>
        <v>0</v>
      </c>
      <c r="F75" s="58">
        <f ca="1">('Market Share'!F172*$L$2)*(c.total.b*1)</f>
        <v>0</v>
      </c>
      <c r="G75" s="58">
        <f ca="1">('Market Share'!G172*$L$2)*(c.total.c*1)</f>
        <v>0</v>
      </c>
      <c r="H75" s="58">
        <f ca="1">('Market Share'!H172*$L$2)*(c.total.d*1)</f>
        <v>0</v>
      </c>
      <c r="I75" s="58">
        <f t="shared" ca="1" si="15"/>
        <v>0</v>
      </c>
      <c r="J75" s="48"/>
      <c r="K75" s="56" t="s">
        <v>21</v>
      </c>
      <c r="L75" s="58">
        <f ca="1">('Market Share'!L172*$L$2)*(c.total.nova*$M$2)</f>
        <v>0</v>
      </c>
      <c r="M75" s="58">
        <f ca="1">('Market Share'!M172*$L$2)*(c.total.a*1)</f>
        <v>0</v>
      </c>
      <c r="N75" s="58">
        <f ca="1">('Market Share'!N172*$L$2)*(c.total.b*1)</f>
        <v>0</v>
      </c>
      <c r="O75" s="58">
        <f ca="1">('Market Share'!O172*$L$2)*(c.total.c*1)</f>
        <v>0</v>
      </c>
      <c r="P75" s="58">
        <f ca="1">('Market Share'!P172*$L$2)*(c.total.d*1)</f>
        <v>0</v>
      </c>
      <c r="Q75" s="58">
        <f t="shared" ca="1" si="16"/>
        <v>0</v>
      </c>
      <c r="R75" s="6"/>
      <c r="AF75" s="109">
        <v>4</v>
      </c>
      <c r="AG75" s="109" t="str">
        <f>(IF(OR(AF75&gt;controle_formulario!$I$16,$C$71&gt;controle_formulario!$E$16),"Ocultar",""))</f>
        <v>Ocultar</v>
      </c>
    </row>
    <row r="76" spans="2:33" hidden="1" x14ac:dyDescent="0.3">
      <c r="B76" s="5"/>
      <c r="C76" s="56" t="s">
        <v>22</v>
      </c>
      <c r="D76" s="58">
        <f ca="1">('Market Share'!D173*$L$2)*(c.total.nova*$M$2)</f>
        <v>0</v>
      </c>
      <c r="E76" s="58">
        <f ca="1">('Market Share'!E173*$L$2)*(c.total.a*1)</f>
        <v>0</v>
      </c>
      <c r="F76" s="58">
        <f ca="1">('Market Share'!F173*$L$2)*(c.total.b*1)</f>
        <v>0</v>
      </c>
      <c r="G76" s="58">
        <f ca="1">('Market Share'!G173*$L$2)*(c.total.c*1)</f>
        <v>0</v>
      </c>
      <c r="H76" s="58">
        <f ca="1">('Market Share'!H173*$L$2)*(c.total.d*1)</f>
        <v>0</v>
      </c>
      <c r="I76" s="58">
        <f t="shared" ca="1" si="15"/>
        <v>0</v>
      </c>
      <c r="J76" s="48"/>
      <c r="K76" s="56" t="s">
        <v>22</v>
      </c>
      <c r="L76" s="58">
        <f ca="1">('Market Share'!L173*$L$2)*(c.total.nova*$M$2)</f>
        <v>0</v>
      </c>
      <c r="M76" s="58">
        <f ca="1">('Market Share'!M173*$L$2)*(c.total.a*1)</f>
        <v>0</v>
      </c>
      <c r="N76" s="58">
        <f ca="1">('Market Share'!N173*$L$2)*(c.total.b*1)</f>
        <v>0</v>
      </c>
      <c r="O76" s="58">
        <f ca="1">('Market Share'!O173*$L$2)*(c.total.c*1)</f>
        <v>0</v>
      </c>
      <c r="P76" s="58">
        <f ca="1">('Market Share'!P173*$L$2)*(c.total.d*1)</f>
        <v>0</v>
      </c>
      <c r="Q76" s="58">
        <f t="shared" ca="1" si="16"/>
        <v>0</v>
      </c>
      <c r="R76" s="6"/>
      <c r="AF76" s="109">
        <v>5</v>
      </c>
      <c r="AG76" s="109" t="str">
        <f>(IF(OR(AF76&gt;controle_formulario!$I$16,$C$71&gt;controle_formulario!$E$16),"Ocultar",""))</f>
        <v>Ocultar</v>
      </c>
    </row>
    <row r="77" spans="2:33" hidden="1" x14ac:dyDescent="0.3">
      <c r="B77" s="5"/>
      <c r="C77" s="56" t="s">
        <v>23</v>
      </c>
      <c r="D77" s="58">
        <f ca="1">('Market Share'!D174*$L$2)*(c.total.nova*$M$2)</f>
        <v>0</v>
      </c>
      <c r="E77" s="58">
        <f ca="1">('Market Share'!E174*$L$2)*(c.total.a*1)</f>
        <v>0</v>
      </c>
      <c r="F77" s="58">
        <f ca="1">('Market Share'!F174*$L$2)*(c.total.b*1)</f>
        <v>0</v>
      </c>
      <c r="G77" s="58">
        <f ca="1">('Market Share'!G174*$L$2)*(c.total.c*1)</f>
        <v>0</v>
      </c>
      <c r="H77" s="58">
        <f ca="1">('Market Share'!H174*$L$2)*(c.total.d*1)</f>
        <v>0</v>
      </c>
      <c r="I77" s="58">
        <f t="shared" ca="1" si="15"/>
        <v>0</v>
      </c>
      <c r="J77" s="48"/>
      <c r="K77" s="56" t="s">
        <v>23</v>
      </c>
      <c r="L77" s="58">
        <f ca="1">('Market Share'!L174*$L$2)*(c.total.nova*$M$2)</f>
        <v>0</v>
      </c>
      <c r="M77" s="58">
        <f ca="1">('Market Share'!M174*$L$2)*(c.total.a*1)</f>
        <v>0</v>
      </c>
      <c r="N77" s="58">
        <f ca="1">('Market Share'!N174*$L$2)*(c.total.b*1)</f>
        <v>0</v>
      </c>
      <c r="O77" s="58">
        <f ca="1">('Market Share'!O174*$L$2)*(c.total.c*1)</f>
        <v>0</v>
      </c>
      <c r="P77" s="58">
        <f ca="1">('Market Share'!P174*$L$2)*(c.total.d*1)</f>
        <v>0</v>
      </c>
      <c r="Q77" s="58">
        <f t="shared" ca="1" si="16"/>
        <v>0</v>
      </c>
      <c r="R77" s="6"/>
      <c r="AF77" s="109">
        <v>6</v>
      </c>
      <c r="AG77" s="109" t="str">
        <f>(IF(OR(AF77&gt;controle_formulario!$I$16,$C$71&gt;controle_formulario!$E$16),"Ocultar",""))</f>
        <v>Ocultar</v>
      </c>
    </row>
    <row r="78" spans="2:33" hidden="1" x14ac:dyDescent="0.3">
      <c r="B78" s="5"/>
      <c r="C78" s="56" t="s">
        <v>24</v>
      </c>
      <c r="D78" s="58">
        <f ca="1">('Market Share'!D175*$L$2)*(c.total.nova*$M$2)</f>
        <v>0</v>
      </c>
      <c r="E78" s="58">
        <f ca="1">('Market Share'!E175*$L$2)*(c.total.a*1)</f>
        <v>0</v>
      </c>
      <c r="F78" s="58">
        <f ca="1">('Market Share'!F175*$L$2)*(c.total.b*1)</f>
        <v>0</v>
      </c>
      <c r="G78" s="58">
        <f ca="1">('Market Share'!G175*$L$2)*(c.total.c*1)</f>
        <v>0</v>
      </c>
      <c r="H78" s="58">
        <f ca="1">('Market Share'!H175*$L$2)*(c.total.d*1)</f>
        <v>0</v>
      </c>
      <c r="I78" s="58">
        <f t="shared" ca="1" si="15"/>
        <v>0</v>
      </c>
      <c r="J78" s="48"/>
      <c r="K78" s="56" t="s">
        <v>24</v>
      </c>
      <c r="L78" s="58">
        <f ca="1">('Market Share'!L175*$L$2)*(c.total.nova*$M$2)</f>
        <v>0</v>
      </c>
      <c r="M78" s="58">
        <f ca="1">('Market Share'!M175*$L$2)*(c.total.a*1)</f>
        <v>0</v>
      </c>
      <c r="N78" s="58">
        <f ca="1">('Market Share'!N175*$L$2)*(c.total.b*1)</f>
        <v>0</v>
      </c>
      <c r="O78" s="58">
        <f ca="1">('Market Share'!O175*$L$2)*(c.total.c*1)</f>
        <v>0</v>
      </c>
      <c r="P78" s="58">
        <f ca="1">('Market Share'!P175*$L$2)*(c.total.d*1)</f>
        <v>0</v>
      </c>
      <c r="Q78" s="58">
        <f t="shared" ca="1" si="16"/>
        <v>0</v>
      </c>
      <c r="R78" s="6"/>
      <c r="AF78" s="109">
        <v>7</v>
      </c>
      <c r="AG78" s="109" t="str">
        <f>(IF(OR(AF78&gt;controle_formulario!$I$16,$C$71&gt;controle_formulario!$E$16),"Ocultar",""))</f>
        <v>Ocultar</v>
      </c>
    </row>
    <row r="79" spans="2:33" hidden="1" x14ac:dyDescent="0.3">
      <c r="B79" s="5"/>
      <c r="C79" s="56" t="s">
        <v>25</v>
      </c>
      <c r="D79" s="58">
        <f ca="1">('Market Share'!D176*$L$2)*(c.total.nova*$M$2)</f>
        <v>0</v>
      </c>
      <c r="E79" s="58">
        <f ca="1">('Market Share'!E176*$L$2)*(c.total.a*1)</f>
        <v>0</v>
      </c>
      <c r="F79" s="58">
        <f ca="1">('Market Share'!F176*$L$2)*(c.total.b*1)</f>
        <v>0</v>
      </c>
      <c r="G79" s="58">
        <f ca="1">('Market Share'!G176*$L$2)*(c.total.c*1)</f>
        <v>0</v>
      </c>
      <c r="H79" s="58">
        <f ca="1">('Market Share'!H176*$L$2)*(c.total.d*1)</f>
        <v>0</v>
      </c>
      <c r="I79" s="58">
        <f t="shared" ca="1" si="15"/>
        <v>0</v>
      </c>
      <c r="J79" s="48"/>
      <c r="K79" s="56" t="s">
        <v>25</v>
      </c>
      <c r="L79" s="58">
        <f ca="1">('Market Share'!L176*$L$2)*(c.total.nova*$M$2)</f>
        <v>0</v>
      </c>
      <c r="M79" s="58">
        <f ca="1">('Market Share'!M176*$L$2)*(c.total.a*1)</f>
        <v>0</v>
      </c>
      <c r="N79" s="58">
        <f ca="1">('Market Share'!N176*$L$2)*(c.total.b*1)</f>
        <v>0</v>
      </c>
      <c r="O79" s="58">
        <f ca="1">('Market Share'!O176*$L$2)*(c.total.c*1)</f>
        <v>0</v>
      </c>
      <c r="P79" s="58">
        <f ca="1">('Market Share'!P176*$L$2)*(c.total.d*1)</f>
        <v>0</v>
      </c>
      <c r="Q79" s="58">
        <f t="shared" ca="1" si="16"/>
        <v>0</v>
      </c>
      <c r="R79" s="6"/>
      <c r="AF79" s="109">
        <v>8</v>
      </c>
      <c r="AG79" s="109" t="str">
        <f>(IF(OR(AF79&gt;controle_formulario!$I$16,$C$71&gt;controle_formulario!$E$16),"Ocultar",""))</f>
        <v>Ocultar</v>
      </c>
    </row>
    <row r="80" spans="2:33" hidden="1" x14ac:dyDescent="0.3">
      <c r="B80" s="5"/>
      <c r="C80" s="56" t="s">
        <v>26</v>
      </c>
      <c r="D80" s="58">
        <f ca="1">('Market Share'!D177*$L$2)*(c.total.nova*$M$2)</f>
        <v>0</v>
      </c>
      <c r="E80" s="58">
        <f ca="1">('Market Share'!E177*$L$2)*(c.total.a*1)</f>
        <v>0</v>
      </c>
      <c r="F80" s="58">
        <f ca="1">('Market Share'!F177*$L$2)*(c.total.b*1)</f>
        <v>0</v>
      </c>
      <c r="G80" s="58">
        <f ca="1">('Market Share'!G177*$L$2)*(c.total.c*1)</f>
        <v>0</v>
      </c>
      <c r="H80" s="58">
        <f ca="1">('Market Share'!H177*$L$2)*(c.total.d*1)</f>
        <v>0</v>
      </c>
      <c r="I80" s="58">
        <f t="shared" ca="1" si="15"/>
        <v>0</v>
      </c>
      <c r="J80" s="48"/>
      <c r="K80" s="56" t="s">
        <v>26</v>
      </c>
      <c r="L80" s="58">
        <f ca="1">('Market Share'!L177*$L$2)*(c.total.nova*$M$2)</f>
        <v>0</v>
      </c>
      <c r="M80" s="58">
        <f ca="1">('Market Share'!M177*$L$2)*(c.total.a*1)</f>
        <v>0</v>
      </c>
      <c r="N80" s="58">
        <f ca="1">('Market Share'!N177*$L$2)*(c.total.b*1)</f>
        <v>0</v>
      </c>
      <c r="O80" s="58">
        <f ca="1">('Market Share'!O177*$L$2)*(c.total.c*1)</f>
        <v>0</v>
      </c>
      <c r="P80" s="58">
        <f ca="1">('Market Share'!P177*$L$2)*(c.total.d*1)</f>
        <v>0</v>
      </c>
      <c r="Q80" s="58">
        <f t="shared" ca="1" si="16"/>
        <v>0</v>
      </c>
      <c r="R80" s="6"/>
      <c r="AF80" s="109">
        <v>9</v>
      </c>
      <c r="AG80" s="109" t="str">
        <f>(IF(OR(AF80&gt;controle_formulario!$I$16,$C$71&gt;controle_formulario!$E$16),"Ocultar",""))</f>
        <v>Ocultar</v>
      </c>
    </row>
    <row r="81" spans="2:33" hidden="1" x14ac:dyDescent="0.3">
      <c r="B81" s="5"/>
      <c r="C81" s="59" t="s">
        <v>27</v>
      </c>
      <c r="D81" s="58">
        <f ca="1">('Market Share'!D178*$L$2)*(c.total.nova*$M$2)</f>
        <v>0</v>
      </c>
      <c r="E81" s="58">
        <f ca="1">('Market Share'!E178*$L$2)*(c.total.a*1)</f>
        <v>0</v>
      </c>
      <c r="F81" s="58">
        <f ca="1">('Market Share'!F178*$L$2)*(c.total.b*1)</f>
        <v>0</v>
      </c>
      <c r="G81" s="58">
        <f ca="1">('Market Share'!G178*$L$2)*(c.total.c*1)</f>
        <v>0</v>
      </c>
      <c r="H81" s="58">
        <f ca="1">('Market Share'!H178*$L$2)*(c.total.d*1)</f>
        <v>0</v>
      </c>
      <c r="I81" s="60">
        <f t="shared" ca="1" si="15"/>
        <v>0</v>
      </c>
      <c r="J81" s="48"/>
      <c r="K81" s="59" t="s">
        <v>27</v>
      </c>
      <c r="L81" s="58">
        <f ca="1">('Market Share'!L178*$L$2)*(c.total.nova*$M$2)</f>
        <v>0</v>
      </c>
      <c r="M81" s="58">
        <f ca="1">('Market Share'!M178*$L$2)*(c.total.a*1)</f>
        <v>0</v>
      </c>
      <c r="N81" s="58">
        <f ca="1">('Market Share'!N178*$L$2)*(c.total.b*1)</f>
        <v>0</v>
      </c>
      <c r="O81" s="58">
        <f ca="1">('Market Share'!O178*$L$2)*(c.total.c*1)</f>
        <v>0</v>
      </c>
      <c r="P81" s="58">
        <f ca="1">('Market Share'!P178*$L$2)*(c.total.d*1)</f>
        <v>0</v>
      </c>
      <c r="Q81" s="60">
        <f t="shared" ca="1" si="16"/>
        <v>0</v>
      </c>
      <c r="R81" s="6"/>
      <c r="AF81" s="109">
        <v>10</v>
      </c>
      <c r="AG81" s="109" t="str">
        <f>(IF(OR(AF81&gt;controle_formulario!$I$16,$C$71&gt;controle_formulario!$E$16),"Ocultar",""))</f>
        <v>Ocultar</v>
      </c>
    </row>
    <row r="82" spans="2:33" hidden="1" x14ac:dyDescent="0.3">
      <c r="B82" s="5"/>
      <c r="C82" s="62" t="s">
        <v>29</v>
      </c>
      <c r="D82" s="78">
        <f t="shared" ref="D82:I82" ca="1" si="17">SUM(D72:D81)</f>
        <v>0</v>
      </c>
      <c r="E82" s="78">
        <f t="shared" ca="1" si="17"/>
        <v>0</v>
      </c>
      <c r="F82" s="78">
        <f t="shared" ca="1" si="17"/>
        <v>0</v>
      </c>
      <c r="G82" s="78">
        <f t="shared" ca="1" si="17"/>
        <v>0</v>
      </c>
      <c r="H82" s="78">
        <f t="shared" ca="1" si="17"/>
        <v>0</v>
      </c>
      <c r="I82" s="78">
        <f t="shared" ca="1" si="17"/>
        <v>0</v>
      </c>
      <c r="J82" s="48"/>
      <c r="K82" s="62" t="s">
        <v>29</v>
      </c>
      <c r="L82" s="78">
        <f t="shared" ref="L82:Q82" ca="1" si="18">SUM(L72:L81)</f>
        <v>0</v>
      </c>
      <c r="M82" s="78">
        <f t="shared" ca="1" si="18"/>
        <v>0</v>
      </c>
      <c r="N82" s="78">
        <f t="shared" ca="1" si="18"/>
        <v>0</v>
      </c>
      <c r="O82" s="78">
        <f t="shared" ca="1" si="18"/>
        <v>0</v>
      </c>
      <c r="P82" s="78">
        <f t="shared" ca="1" si="18"/>
        <v>0</v>
      </c>
      <c r="Q82" s="78">
        <f t="shared" ca="1" si="18"/>
        <v>0</v>
      </c>
      <c r="R82" s="6"/>
      <c r="AG82" s="109" t="str">
        <f>IF($C$71&gt;controle_formulario!$E$16,"Ocultar","")</f>
        <v>Ocultar</v>
      </c>
    </row>
    <row r="83" spans="2:33" x14ac:dyDescent="0.3">
      <c r="B83" s="5"/>
      <c r="R83" s="6"/>
    </row>
    <row r="84" spans="2:33" x14ac:dyDescent="0.3">
      <c r="B84" s="5"/>
      <c r="R84" s="6"/>
    </row>
    <row r="85" spans="2:33" hidden="1" x14ac:dyDescent="0.3">
      <c r="B85" s="5"/>
      <c r="C85" s="73" t="str">
        <f>cen.alt10</f>
        <v>Taxa de difusão em X anos: XX%</v>
      </c>
      <c r="D85" s="29"/>
      <c r="E85" s="29"/>
      <c r="F85" s="29"/>
      <c r="G85" s="29"/>
      <c r="H85" s="29"/>
      <c r="I85" s="29"/>
      <c r="R85" s="6"/>
      <c r="AG85" s="109" t="str">
        <f>IF($C$87&gt;controle_formulario!$E$16,"Ocultar","")</f>
        <v>Ocultar</v>
      </c>
    </row>
    <row r="86" spans="2:33" hidden="1" x14ac:dyDescent="0.3">
      <c r="B86" s="5"/>
      <c r="C86" s="68"/>
      <c r="D86" s="29"/>
      <c r="E86" s="29"/>
      <c r="F86" s="29"/>
      <c r="G86" s="29"/>
      <c r="H86" s="29"/>
      <c r="I86" s="29"/>
      <c r="R86" s="6"/>
      <c r="AG86" s="109" t="str">
        <f>IF($C$87&gt;controle_formulario!$E$16,"Ocultar","")</f>
        <v>Ocultar</v>
      </c>
    </row>
    <row r="87" spans="2:33" hidden="1" x14ac:dyDescent="0.3">
      <c r="B87" s="5"/>
      <c r="C87" s="113">
        <v>10</v>
      </c>
      <c r="D87" s="30" t="str">
        <f>trat.novo</f>
        <v>Pirtobrutinibe</v>
      </c>
      <c r="E87" s="30" t="str">
        <f>trat.a</f>
        <v xml:space="preserve"> Conjunto de Tratamentos-Padrão</v>
      </c>
      <c r="F87" s="30">
        <f>trat.b</f>
        <v>0</v>
      </c>
      <c r="G87" s="30">
        <f>trat.c</f>
        <v>0</v>
      </c>
      <c r="H87" s="30">
        <f>trat.d</f>
        <v>0</v>
      </c>
      <c r="I87" s="30" t="s">
        <v>29</v>
      </c>
      <c r="R87" s="6"/>
      <c r="AG87" s="109" t="str">
        <f>IF($C$87&gt;controle_formulario!$E$16,"Ocultar","")</f>
        <v>Ocultar</v>
      </c>
    </row>
    <row r="88" spans="2:33" hidden="1" x14ac:dyDescent="0.3">
      <c r="B88" s="5"/>
      <c r="C88" s="56" t="s">
        <v>18</v>
      </c>
      <c r="D88" s="58">
        <f ca="1">('Market Share'!D185*$L$2)*(c.total.nova*$M$2)</f>
        <v>0</v>
      </c>
      <c r="E88" s="58">
        <f ca="1">('Market Share'!E185*$L$2)*(c.total.a*1)</f>
        <v>0</v>
      </c>
      <c r="F88" s="58">
        <f ca="1">('Market Share'!F185*$L$2)*(c.total.b*1)</f>
        <v>0</v>
      </c>
      <c r="G88" s="58">
        <f ca="1">('Market Share'!G185*$L$2)*(c.total.c*1)</f>
        <v>0</v>
      </c>
      <c r="H88" s="58">
        <f ca="1">('Market Share'!H185*$L$2)*(c.total.d*1)</f>
        <v>0</v>
      </c>
      <c r="I88" s="58">
        <f ca="1">SUM(D88:H88)</f>
        <v>0</v>
      </c>
      <c r="R88" s="6"/>
      <c r="AG88" s="109" t="str">
        <f>IF($C$87&gt;controle_formulario!$E$16,"Ocultar","")</f>
        <v>Ocultar</v>
      </c>
    </row>
    <row r="89" spans="2:33" hidden="1" x14ac:dyDescent="0.3">
      <c r="B89" s="5"/>
      <c r="C89" s="56" t="s">
        <v>19</v>
      </c>
      <c r="D89" s="58">
        <f ca="1">('Market Share'!D186*$L$2)*(c.total.nova*$M$2)</f>
        <v>0</v>
      </c>
      <c r="E89" s="58">
        <f ca="1">('Market Share'!E186*$L$2)*(c.total.a*1)</f>
        <v>0</v>
      </c>
      <c r="F89" s="58">
        <f ca="1">('Market Share'!F186*$L$2)*(c.total.b*1)</f>
        <v>0</v>
      </c>
      <c r="G89" s="58">
        <f ca="1">('Market Share'!G186*$L$2)*(c.total.c*1)</f>
        <v>0</v>
      </c>
      <c r="H89" s="58">
        <f ca="1">('Market Share'!H186*$L$2)*(c.total.d*1)</f>
        <v>0</v>
      </c>
      <c r="I89" s="58">
        <f t="shared" ref="I89:I97" ca="1" si="19">SUM(D89:H89)</f>
        <v>0</v>
      </c>
      <c r="R89" s="6"/>
      <c r="AF89" s="109">
        <v>2</v>
      </c>
      <c r="AG89" s="109" t="str">
        <f>(IF(OR(AF89&gt;controle_formulario!$I$16,$C$87&gt;controle_formulario!$E$16),"Ocultar",""))</f>
        <v>Ocultar</v>
      </c>
    </row>
    <row r="90" spans="2:33" hidden="1" x14ac:dyDescent="0.3">
      <c r="B90" s="5"/>
      <c r="C90" s="56" t="s">
        <v>20</v>
      </c>
      <c r="D90" s="58">
        <f ca="1">('Market Share'!D187*$L$2)*(c.total.nova*$M$2)</f>
        <v>0</v>
      </c>
      <c r="E90" s="58">
        <f ca="1">('Market Share'!E187*$L$2)*(c.total.a*1)</f>
        <v>0</v>
      </c>
      <c r="F90" s="58">
        <f ca="1">('Market Share'!F187*$L$2)*(c.total.b*1)</f>
        <v>0</v>
      </c>
      <c r="G90" s="58">
        <f ca="1">('Market Share'!G187*$L$2)*(c.total.c*1)</f>
        <v>0</v>
      </c>
      <c r="H90" s="58">
        <f ca="1">('Market Share'!H187*$L$2)*(c.total.d*1)</f>
        <v>0</v>
      </c>
      <c r="I90" s="58">
        <f t="shared" ca="1" si="19"/>
        <v>0</v>
      </c>
      <c r="R90" s="6"/>
      <c r="AF90" s="109">
        <v>3</v>
      </c>
      <c r="AG90" s="109" t="str">
        <f>(IF(OR(AF90&gt;controle_formulario!$I$16,$C$87&gt;controle_formulario!$E$16),"Ocultar",""))</f>
        <v>Ocultar</v>
      </c>
    </row>
    <row r="91" spans="2:33" hidden="1" x14ac:dyDescent="0.3">
      <c r="B91" s="5"/>
      <c r="C91" s="56" t="s">
        <v>21</v>
      </c>
      <c r="D91" s="58">
        <f ca="1">('Market Share'!D188*$L$2)*(c.total.nova*$M$2)</f>
        <v>0</v>
      </c>
      <c r="E91" s="58">
        <f ca="1">('Market Share'!E188*$L$2)*(c.total.a*1)</f>
        <v>0</v>
      </c>
      <c r="F91" s="58">
        <f ca="1">('Market Share'!F188*$L$2)*(c.total.b*1)</f>
        <v>0</v>
      </c>
      <c r="G91" s="58">
        <f ca="1">('Market Share'!G188*$L$2)*(c.total.c*1)</f>
        <v>0</v>
      </c>
      <c r="H91" s="58">
        <f ca="1">('Market Share'!H188*$L$2)*(c.total.d*1)</f>
        <v>0</v>
      </c>
      <c r="I91" s="58">
        <f t="shared" ca="1" si="19"/>
        <v>0</v>
      </c>
      <c r="R91" s="6"/>
      <c r="AF91" s="109">
        <v>4</v>
      </c>
      <c r="AG91" s="109" t="str">
        <f>(IF(OR(AF91&gt;controle_formulario!$I$16,$C$87&gt;controle_formulario!$E$16),"Ocultar",""))</f>
        <v>Ocultar</v>
      </c>
    </row>
    <row r="92" spans="2:33" hidden="1" x14ac:dyDescent="0.3">
      <c r="B92" s="5"/>
      <c r="C92" s="56" t="s">
        <v>22</v>
      </c>
      <c r="D92" s="58">
        <f ca="1">('Market Share'!D189*$L$2)*(c.total.nova*$M$2)</f>
        <v>0</v>
      </c>
      <c r="E92" s="58">
        <f ca="1">('Market Share'!E189*$L$2)*(c.total.a*1)</f>
        <v>0</v>
      </c>
      <c r="F92" s="58">
        <f ca="1">('Market Share'!F189*$L$2)*(c.total.b*1)</f>
        <v>0</v>
      </c>
      <c r="G92" s="58">
        <f ca="1">('Market Share'!G189*$L$2)*(c.total.c*1)</f>
        <v>0</v>
      </c>
      <c r="H92" s="58">
        <f ca="1">('Market Share'!H189*$L$2)*(c.total.d*1)</f>
        <v>0</v>
      </c>
      <c r="I92" s="58">
        <f t="shared" ca="1" si="19"/>
        <v>0</v>
      </c>
      <c r="R92" s="6"/>
      <c r="AF92" s="109">
        <v>5</v>
      </c>
      <c r="AG92" s="109" t="str">
        <f>(IF(OR(AF92&gt;controle_formulario!$I$16,$C$87&gt;controle_formulario!$E$16),"Ocultar",""))</f>
        <v>Ocultar</v>
      </c>
    </row>
    <row r="93" spans="2:33" hidden="1" x14ac:dyDescent="0.3">
      <c r="B93" s="5"/>
      <c r="C93" s="56" t="s">
        <v>23</v>
      </c>
      <c r="D93" s="58">
        <f ca="1">('Market Share'!D190*$L$2)*(c.total.nova*$M$2)</f>
        <v>0</v>
      </c>
      <c r="E93" s="58">
        <f ca="1">('Market Share'!E190*$L$2)*(c.total.a*1)</f>
        <v>0</v>
      </c>
      <c r="F93" s="58">
        <f ca="1">('Market Share'!F190*$L$2)*(c.total.b*1)</f>
        <v>0</v>
      </c>
      <c r="G93" s="58">
        <f ca="1">('Market Share'!G190*$L$2)*(c.total.c*1)</f>
        <v>0</v>
      </c>
      <c r="H93" s="58">
        <f ca="1">('Market Share'!H190*$L$2)*(c.total.d*1)</f>
        <v>0</v>
      </c>
      <c r="I93" s="58">
        <f t="shared" ca="1" si="19"/>
        <v>0</v>
      </c>
      <c r="R93" s="6"/>
      <c r="AF93" s="109">
        <v>6</v>
      </c>
      <c r="AG93" s="109" t="str">
        <f>(IF(OR(AF93&gt;controle_formulario!$I$16,$C$87&gt;controle_formulario!$E$16),"Ocultar",""))</f>
        <v>Ocultar</v>
      </c>
    </row>
    <row r="94" spans="2:33" hidden="1" x14ac:dyDescent="0.3">
      <c r="B94" s="5"/>
      <c r="C94" s="56" t="s">
        <v>24</v>
      </c>
      <c r="D94" s="58">
        <f ca="1">('Market Share'!D191*$L$2)*(c.total.nova*$M$2)</f>
        <v>0</v>
      </c>
      <c r="E94" s="58">
        <f ca="1">('Market Share'!E191*$L$2)*(c.total.a*1)</f>
        <v>0</v>
      </c>
      <c r="F94" s="58">
        <f ca="1">('Market Share'!F191*$L$2)*(c.total.b*1)</f>
        <v>0</v>
      </c>
      <c r="G94" s="58">
        <f ca="1">('Market Share'!G191*$L$2)*(c.total.c*1)</f>
        <v>0</v>
      </c>
      <c r="H94" s="58">
        <f ca="1">('Market Share'!H191*$L$2)*(c.total.d*1)</f>
        <v>0</v>
      </c>
      <c r="I94" s="58">
        <f t="shared" ca="1" si="19"/>
        <v>0</v>
      </c>
      <c r="R94" s="6"/>
      <c r="AF94" s="109">
        <v>7</v>
      </c>
      <c r="AG94" s="109" t="str">
        <f>(IF(OR(AF94&gt;controle_formulario!$I$16,$C$87&gt;controle_formulario!$E$16),"Ocultar",""))</f>
        <v>Ocultar</v>
      </c>
    </row>
    <row r="95" spans="2:33" hidden="1" x14ac:dyDescent="0.3">
      <c r="B95" s="5"/>
      <c r="C95" s="56" t="s">
        <v>25</v>
      </c>
      <c r="D95" s="58">
        <f ca="1">('Market Share'!D192*$L$2)*(c.total.nova*$M$2)</f>
        <v>0</v>
      </c>
      <c r="E95" s="58">
        <f ca="1">('Market Share'!E192*$L$2)*(c.total.a*1)</f>
        <v>0</v>
      </c>
      <c r="F95" s="58">
        <f ca="1">('Market Share'!F192*$L$2)*(c.total.b*1)</f>
        <v>0</v>
      </c>
      <c r="G95" s="58">
        <f ca="1">('Market Share'!G192*$L$2)*(c.total.c*1)</f>
        <v>0</v>
      </c>
      <c r="H95" s="58">
        <f ca="1">('Market Share'!H192*$L$2)*(c.total.d*1)</f>
        <v>0</v>
      </c>
      <c r="I95" s="58">
        <f t="shared" ca="1" si="19"/>
        <v>0</v>
      </c>
      <c r="R95" s="6"/>
      <c r="AF95" s="109">
        <v>8</v>
      </c>
      <c r="AG95" s="109" t="str">
        <f>(IF(OR(AF95&gt;controle_formulario!$I$16,$C$87&gt;controle_formulario!$E$16),"Ocultar",""))</f>
        <v>Ocultar</v>
      </c>
    </row>
    <row r="96" spans="2:33" hidden="1" x14ac:dyDescent="0.3">
      <c r="B96" s="5"/>
      <c r="C96" s="56" t="s">
        <v>26</v>
      </c>
      <c r="D96" s="58">
        <f ca="1">('Market Share'!D193*$L$2)*(c.total.nova*$M$2)</f>
        <v>0</v>
      </c>
      <c r="E96" s="58">
        <f ca="1">('Market Share'!E193*$L$2)*(c.total.a*1)</f>
        <v>0</v>
      </c>
      <c r="F96" s="58">
        <f ca="1">('Market Share'!F193*$L$2)*(c.total.b*1)</f>
        <v>0</v>
      </c>
      <c r="G96" s="58">
        <f ca="1">('Market Share'!G193*$L$2)*(c.total.c*1)</f>
        <v>0</v>
      </c>
      <c r="H96" s="58">
        <f ca="1">('Market Share'!H193*$L$2)*(c.total.d*1)</f>
        <v>0</v>
      </c>
      <c r="I96" s="58">
        <f t="shared" ca="1" si="19"/>
        <v>0</v>
      </c>
      <c r="R96" s="6"/>
      <c r="AF96" s="109">
        <v>9</v>
      </c>
      <c r="AG96" s="109" t="str">
        <f>(IF(OR(AF96&gt;controle_formulario!$I$16,$C$87&gt;controle_formulario!$E$16),"Ocultar",""))</f>
        <v>Ocultar</v>
      </c>
    </row>
    <row r="97" spans="2:33" hidden="1" x14ac:dyDescent="0.3">
      <c r="B97" s="5"/>
      <c r="C97" s="59" t="s">
        <v>27</v>
      </c>
      <c r="D97" s="58">
        <f ca="1">('Market Share'!D194*$L$2)*(c.total.nova*$M$2)</f>
        <v>0</v>
      </c>
      <c r="E97" s="58">
        <f ca="1">('Market Share'!E194*$L$2)*(c.total.a*1)</f>
        <v>0</v>
      </c>
      <c r="F97" s="58">
        <f ca="1">('Market Share'!F194*$L$2)*(c.total.b*1)</f>
        <v>0</v>
      </c>
      <c r="G97" s="58">
        <f ca="1">('Market Share'!G194*$L$2)*(c.total.c*1)</f>
        <v>0</v>
      </c>
      <c r="H97" s="58">
        <f ca="1">('Market Share'!H194*$L$2)*(c.total.d*1)</f>
        <v>0</v>
      </c>
      <c r="I97" s="60">
        <f t="shared" ca="1" si="19"/>
        <v>0</v>
      </c>
      <c r="R97" s="6"/>
      <c r="AF97" s="109">
        <v>10</v>
      </c>
      <c r="AG97" s="109" t="str">
        <f>(IF(OR(AF97&gt;controle_formulario!$I$16,$C$87&gt;controle_formulario!$E$16),"Ocultar",""))</f>
        <v>Ocultar</v>
      </c>
    </row>
    <row r="98" spans="2:33" hidden="1" x14ac:dyDescent="0.3">
      <c r="B98" s="5"/>
      <c r="C98" s="62" t="s">
        <v>29</v>
      </c>
      <c r="D98" s="78">
        <f t="shared" ref="D98:I98" ca="1" si="20">SUM(D88:D97)</f>
        <v>0</v>
      </c>
      <c r="E98" s="78">
        <f t="shared" ca="1" si="20"/>
        <v>0</v>
      </c>
      <c r="F98" s="78">
        <f t="shared" ca="1" si="20"/>
        <v>0</v>
      </c>
      <c r="G98" s="78">
        <f t="shared" ca="1" si="20"/>
        <v>0</v>
      </c>
      <c r="H98" s="78">
        <f t="shared" ca="1" si="20"/>
        <v>0</v>
      </c>
      <c r="I98" s="78">
        <f t="shared" ca="1" si="20"/>
        <v>0</v>
      </c>
      <c r="R98" s="6"/>
      <c r="AG98" s="109" t="str">
        <f>IF($C$87&gt;controle_formulario!$E$16,"Ocultar","")</f>
        <v>Ocultar</v>
      </c>
    </row>
    <row r="99" spans="2:33" x14ac:dyDescent="0.3">
      <c r="B99" s="5"/>
      <c r="R99" s="6"/>
    </row>
    <row r="100" spans="2:33" x14ac:dyDescent="0.3">
      <c r="B100" s="7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9"/>
    </row>
    <row r="106" spans="2:33" x14ac:dyDescent="0.3">
      <c r="AF106" s="109"/>
    </row>
    <row r="107" spans="2:33" x14ac:dyDescent="0.3">
      <c r="AF107" s="109"/>
    </row>
    <row r="108" spans="2:33" x14ac:dyDescent="0.3">
      <c r="AF108" s="109"/>
    </row>
    <row r="109" spans="2:33" x14ac:dyDescent="0.3">
      <c r="AF109" s="109"/>
    </row>
    <row r="110" spans="2:33" x14ac:dyDescent="0.3">
      <c r="AF110" s="109"/>
    </row>
    <row r="111" spans="2:33" x14ac:dyDescent="0.3">
      <c r="AF111" s="109"/>
    </row>
    <row r="112" spans="2:33" x14ac:dyDescent="0.3">
      <c r="AF112" s="109"/>
    </row>
    <row r="113" spans="32:32" x14ac:dyDescent="0.3">
      <c r="AF113" s="109"/>
    </row>
    <row r="114" spans="32:32" x14ac:dyDescent="0.3">
      <c r="AF114" s="109"/>
    </row>
    <row r="121" spans="32:32" x14ac:dyDescent="0.3">
      <c r="AF121" s="109"/>
    </row>
    <row r="122" spans="32:32" x14ac:dyDescent="0.3">
      <c r="AF122" s="109"/>
    </row>
    <row r="123" spans="32:32" x14ac:dyDescent="0.3">
      <c r="AF123" s="109"/>
    </row>
    <row r="124" spans="32:32" x14ac:dyDescent="0.3">
      <c r="AF124" s="109"/>
    </row>
    <row r="125" spans="32:32" x14ac:dyDescent="0.3">
      <c r="AF125" s="109"/>
    </row>
    <row r="126" spans="32:32" x14ac:dyDescent="0.3">
      <c r="AF126" s="109"/>
    </row>
    <row r="127" spans="32:32" x14ac:dyDescent="0.3">
      <c r="AF127" s="109"/>
    </row>
    <row r="128" spans="32:32" x14ac:dyDescent="0.3">
      <c r="AF128" s="109"/>
    </row>
    <row r="129" spans="32:32" x14ac:dyDescent="0.3">
      <c r="AF129" s="109"/>
    </row>
    <row r="136" spans="32:32" x14ac:dyDescent="0.3">
      <c r="AF136" s="109"/>
    </row>
    <row r="137" spans="32:32" x14ac:dyDescent="0.3">
      <c r="AF137" s="109"/>
    </row>
    <row r="138" spans="32:32" x14ac:dyDescent="0.3">
      <c r="AF138" s="109"/>
    </row>
    <row r="139" spans="32:32" x14ac:dyDescent="0.3">
      <c r="AF139" s="109"/>
    </row>
    <row r="140" spans="32:32" x14ac:dyDescent="0.3">
      <c r="AF140" s="109"/>
    </row>
    <row r="141" spans="32:32" x14ac:dyDescent="0.3">
      <c r="AF141" s="109"/>
    </row>
    <row r="142" spans="32:32" x14ac:dyDescent="0.3">
      <c r="AF142" s="109"/>
    </row>
    <row r="143" spans="32:32" x14ac:dyDescent="0.3">
      <c r="AF143" s="109"/>
    </row>
    <row r="144" spans="32:32" x14ac:dyDescent="0.3">
      <c r="AF144" s="109"/>
    </row>
    <row r="151" spans="32:32" x14ac:dyDescent="0.3">
      <c r="AF151" s="109"/>
    </row>
    <row r="152" spans="32:32" x14ac:dyDescent="0.3">
      <c r="AF152" s="109"/>
    </row>
    <row r="153" spans="32:32" x14ac:dyDescent="0.3">
      <c r="AF153" s="109"/>
    </row>
    <row r="154" spans="32:32" x14ac:dyDescent="0.3">
      <c r="AF154" s="109"/>
    </row>
    <row r="155" spans="32:32" x14ac:dyDescent="0.3">
      <c r="AF155" s="109"/>
    </row>
    <row r="156" spans="32:32" x14ac:dyDescent="0.3">
      <c r="AF156" s="109"/>
    </row>
    <row r="157" spans="32:32" x14ac:dyDescent="0.3">
      <c r="AF157" s="109"/>
    </row>
    <row r="158" spans="32:32" x14ac:dyDescent="0.3">
      <c r="AF158" s="109"/>
    </row>
    <row r="159" spans="32:32" x14ac:dyDescent="0.3">
      <c r="AF159" s="109"/>
    </row>
    <row r="166" spans="32:32" x14ac:dyDescent="0.3">
      <c r="AF166" s="109"/>
    </row>
    <row r="167" spans="32:32" x14ac:dyDescent="0.3">
      <c r="AF167" s="109"/>
    </row>
    <row r="168" spans="32:32" x14ac:dyDescent="0.3">
      <c r="AF168" s="109"/>
    </row>
    <row r="169" spans="32:32" x14ac:dyDescent="0.3">
      <c r="AF169" s="109"/>
    </row>
    <row r="170" spans="32:32" x14ac:dyDescent="0.3">
      <c r="AF170" s="109"/>
    </row>
    <row r="171" spans="32:32" x14ac:dyDescent="0.3">
      <c r="AF171" s="109"/>
    </row>
    <row r="172" spans="32:32" x14ac:dyDescent="0.3">
      <c r="AF172" s="109"/>
    </row>
    <row r="173" spans="32:32" x14ac:dyDescent="0.3">
      <c r="AF173" s="109"/>
    </row>
    <row r="174" spans="32:32" x14ac:dyDescent="0.3">
      <c r="AF174" s="109"/>
    </row>
    <row r="178" spans="32:33" x14ac:dyDescent="0.3">
      <c r="AG178" s="109"/>
    </row>
    <row r="179" spans="32:33" x14ac:dyDescent="0.3">
      <c r="AG179" s="109"/>
    </row>
    <row r="180" spans="32:33" x14ac:dyDescent="0.3">
      <c r="AG180" s="109"/>
    </row>
    <row r="181" spans="32:33" x14ac:dyDescent="0.3">
      <c r="AF181" s="109"/>
      <c r="AG181" s="109"/>
    </row>
    <row r="182" spans="32:33" x14ac:dyDescent="0.3">
      <c r="AF182" s="109"/>
      <c r="AG182" s="109"/>
    </row>
    <row r="183" spans="32:33" x14ac:dyDescent="0.3">
      <c r="AF183" s="109"/>
      <c r="AG183" s="109"/>
    </row>
    <row r="184" spans="32:33" x14ac:dyDescent="0.3">
      <c r="AF184" s="109"/>
      <c r="AG184" s="109"/>
    </row>
    <row r="185" spans="32:33" x14ac:dyDescent="0.3">
      <c r="AF185" s="109"/>
      <c r="AG185" s="109"/>
    </row>
    <row r="186" spans="32:33" x14ac:dyDescent="0.3">
      <c r="AF186" s="109"/>
      <c r="AG186" s="109"/>
    </row>
    <row r="187" spans="32:33" x14ac:dyDescent="0.3">
      <c r="AF187" s="109"/>
      <c r="AG187" s="109"/>
    </row>
    <row r="188" spans="32:33" x14ac:dyDescent="0.3">
      <c r="AF188" s="109"/>
      <c r="AG188" s="109"/>
    </row>
    <row r="189" spans="32:33" x14ac:dyDescent="0.3">
      <c r="AF189" s="109"/>
      <c r="AG189" s="109"/>
    </row>
    <row r="190" spans="32:33" x14ac:dyDescent="0.3">
      <c r="AG190" s="109"/>
    </row>
    <row r="191" spans="32:33" x14ac:dyDescent="0.3">
      <c r="AG191" s="109"/>
    </row>
    <row r="192" spans="32:33" x14ac:dyDescent="0.3">
      <c r="AG192" s="109"/>
    </row>
    <row r="193" spans="5:33" x14ac:dyDescent="0.3">
      <c r="AG193" s="109"/>
    </row>
    <row r="199" spans="5:33" x14ac:dyDescent="0.3">
      <c r="E199" s="110">
        <v>1</v>
      </c>
      <c r="F199" s="110">
        <v>2</v>
      </c>
      <c r="G199" s="110">
        <v>3</v>
      </c>
      <c r="H199" s="110">
        <v>4</v>
      </c>
      <c r="M199" s="110">
        <v>1</v>
      </c>
      <c r="N199" s="110">
        <v>2</v>
      </c>
      <c r="O199" s="110">
        <v>3</v>
      </c>
      <c r="P199" s="110">
        <v>4</v>
      </c>
    </row>
    <row r="200" spans="5:33" x14ac:dyDescent="0.3">
      <c r="E200" s="110" t="str">
        <f>IF(E199&gt;controle_formulario!$C$10,"Ocultar","")</f>
        <v/>
      </c>
      <c r="F200" s="110" t="str">
        <f>IF(F199&gt;controle_formulario!$C$10,"Ocultar","")</f>
        <v>Ocultar</v>
      </c>
      <c r="G200" s="110" t="str">
        <f>IF(G199&gt;controle_formulario!$C$10,"Ocultar","")</f>
        <v>Ocultar</v>
      </c>
      <c r="H200" s="110" t="str">
        <f>IF(H199&gt;controle_formulario!$C$10,"Ocultar","")</f>
        <v>Ocultar</v>
      </c>
      <c r="M200" s="110" t="str">
        <f>IF(M199&gt;controle_formulario!$C$10,"Ocultar","")</f>
        <v/>
      </c>
      <c r="N200" s="110" t="str">
        <f>IF(N199&gt;controle_formulario!$C$10,"Ocultar","")</f>
        <v>Ocultar</v>
      </c>
      <c r="O200" s="110" t="str">
        <f>IF(O199&gt;controle_formulario!$C$10,"Ocultar","")</f>
        <v>Ocultar</v>
      </c>
      <c r="P200" s="110" t="str">
        <f>IF(P199&gt;controle_formulario!$C$10,"Ocultar","")</f>
        <v>Ocultar</v>
      </c>
    </row>
  </sheetData>
  <dataConsolidate/>
  <mergeCells count="1">
    <mergeCell ref="L3:M3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AE86CBD2-17FA-4F5F-80ED-998309BD861B}">
            <xm:f>$K$23&gt;controle_formulario!#REF!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K21:Q23 K24:K33 Q24:Q33 K34:Q34</xm:sqref>
        </x14:conditionalFormatting>
        <x14:conditionalFormatting xmlns:xm="http://schemas.microsoft.com/office/excel/2006/main">
          <x14:cfRule type="expression" priority="18" id="{A4097C9E-41A0-4314-B3C8-E4D5EEDD8CF9}">
            <xm:f>$K$39&gt;controle_formulario!#REF!</xm:f>
            <x14:dxf>
              <font>
                <color theme="0"/>
              </font>
              <border>
                <left/>
                <right/>
                <top/>
                <bottom/>
                <vertical/>
                <horizontal/>
              </border>
            </x14:dxf>
          </x14:cfRule>
          <xm:sqref>K37:Q39 K40:K49 Q40:Q49 K50:Q50</xm:sqref>
        </x14:conditionalFormatting>
        <x14:conditionalFormatting xmlns:xm="http://schemas.microsoft.com/office/excel/2006/main">
          <x14:cfRule type="expression" priority="22" id="{C840286E-D969-4777-98E7-54B4C9C8A869}">
            <xm:f>$K$55&gt;controle_formulario!#REF!</xm:f>
            <x14:dxf>
              <font>
                <color theme="0"/>
              </font>
              <border>
                <left/>
                <right/>
                <top/>
                <bottom/>
                <vertical/>
                <horizontal/>
              </border>
            </x14:dxf>
          </x14:cfRule>
          <xm:sqref>K53:Q55 K56:K65 Q56:Q65 K66:Q66</xm:sqref>
        </x14:conditionalFormatting>
        <x14:conditionalFormatting xmlns:xm="http://schemas.microsoft.com/office/excel/2006/main">
          <x14:cfRule type="expression" priority="26" id="{2C836DED-E8AE-4E11-8876-5EC262E63D9A}">
            <xm:f>$K$71&gt;controle_formulario!#REF!</xm:f>
            <x14:dxf>
              <font>
                <color theme="0"/>
              </font>
              <border>
                <left/>
                <right/>
                <top/>
                <bottom/>
                <vertical/>
                <horizontal/>
              </border>
            </x14:dxf>
          </x14:cfRule>
          <xm:sqref>K69:Q71 K72:K81 Q72:Q81 K82:Q82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11"/>
  <dimension ref="C6:AG248"/>
  <sheetViews>
    <sheetView showGridLines="0" topLeftCell="A52" zoomScale="90" zoomScaleNormal="90" workbookViewId="0">
      <selection activeCell="E56" sqref="E56"/>
    </sheetView>
  </sheetViews>
  <sheetFormatPr defaultColWidth="11.44140625" defaultRowHeight="14.4" x14ac:dyDescent="0.3"/>
  <cols>
    <col min="1" max="1" width="4.109375" customWidth="1"/>
    <col min="2" max="2" width="7.44140625" customWidth="1"/>
    <col min="3" max="3" width="19.109375" customWidth="1"/>
    <col min="4" max="4" width="28.109375" customWidth="1"/>
    <col min="5" max="5" width="24" customWidth="1"/>
    <col min="6" max="6" width="29.6640625" hidden="1" customWidth="1"/>
    <col min="7" max="14" width="24" hidden="1" customWidth="1"/>
    <col min="15" max="18" width="12.6640625" customWidth="1"/>
    <col min="19" max="26" width="11.44140625" customWidth="1"/>
  </cols>
  <sheetData>
    <row r="6" spans="3:33" x14ac:dyDescent="0.3">
      <c r="C6" s="149" t="s">
        <v>117</v>
      </c>
      <c r="D6" s="103"/>
    </row>
    <row r="7" spans="3:33" x14ac:dyDescent="0.3">
      <c r="C7" s="53" t="s">
        <v>53</v>
      </c>
      <c r="D7" s="102" t="s">
        <v>116</v>
      </c>
    </row>
    <row r="8" spans="3:33" x14ac:dyDescent="0.3">
      <c r="C8" s="11">
        <f>Criterios!$C$31</f>
        <v>2026</v>
      </c>
      <c r="D8" s="169">
        <f ca="1">Populacao!I86</f>
        <v>35.902021176061034</v>
      </c>
    </row>
    <row r="9" spans="3:33" x14ac:dyDescent="0.3">
      <c r="C9" s="11">
        <f>C8+1</f>
        <v>2027</v>
      </c>
      <c r="D9" s="169">
        <f ca="1">Populacao!I87</f>
        <v>36.027114594978322</v>
      </c>
      <c r="AF9" s="109">
        <v>2</v>
      </c>
      <c r="AG9" s="109" t="str">
        <f>(IF(AF9&gt;controle_formulario!$I$16,"Ocultar",""))</f>
        <v/>
      </c>
    </row>
    <row r="10" spans="3:33" x14ac:dyDescent="0.3">
      <c r="C10" s="11">
        <f t="shared" ref="C10:C17" si="0">C9+1</f>
        <v>2028</v>
      </c>
      <c r="D10" s="169">
        <f ca="1">Populacao!I88</f>
        <v>36.142742272880319</v>
      </c>
      <c r="AF10" s="109">
        <v>3</v>
      </c>
      <c r="AG10" s="109" t="str">
        <f>(IF(AF10&gt;controle_formulario!$I$16,"Ocultar",""))</f>
        <v/>
      </c>
    </row>
    <row r="11" spans="3:33" x14ac:dyDescent="0.3">
      <c r="C11" s="11">
        <f t="shared" si="0"/>
        <v>2029</v>
      </c>
      <c r="D11" s="169">
        <f ca="1">Populacao!I89</f>
        <v>36.250027878529522</v>
      </c>
      <c r="AF11" s="109">
        <v>4</v>
      </c>
      <c r="AG11" s="109" t="str">
        <f>(IF(AF11&gt;controle_formulario!$I$16,"Ocultar",""))</f>
        <v/>
      </c>
    </row>
    <row r="12" spans="3:33" x14ac:dyDescent="0.3">
      <c r="C12" s="11">
        <f t="shared" si="0"/>
        <v>2030</v>
      </c>
      <c r="D12" s="169">
        <f ca="1">Populacao!I90</f>
        <v>36.350592396534239</v>
      </c>
      <c r="AF12" s="109">
        <v>5</v>
      </c>
      <c r="AG12" s="109" t="str">
        <f>(IF(AF12&gt;controle_formulario!$I$16,"Ocultar",""))</f>
        <v/>
      </c>
    </row>
    <row r="13" spans="3:33" hidden="1" x14ac:dyDescent="0.3">
      <c r="C13" s="11">
        <f t="shared" si="0"/>
        <v>2031</v>
      </c>
      <c r="D13" s="79">
        <f>Populacao!I91</f>
        <v>0</v>
      </c>
      <c r="AF13" s="109">
        <v>6</v>
      </c>
      <c r="AG13" s="109" t="str">
        <f>(IF(AF13&gt;controle_formulario!$I$16,"Ocultar",""))</f>
        <v>Ocultar</v>
      </c>
    </row>
    <row r="14" spans="3:33" hidden="1" x14ac:dyDescent="0.3">
      <c r="C14" s="11">
        <f t="shared" si="0"/>
        <v>2032</v>
      </c>
      <c r="D14" s="79">
        <f>Populacao!I92</f>
        <v>0</v>
      </c>
      <c r="AF14" s="109">
        <v>7</v>
      </c>
      <c r="AG14" s="109" t="str">
        <f>(IF(AF14&gt;controle_formulario!$I$16,"Ocultar",""))</f>
        <v>Ocultar</v>
      </c>
    </row>
    <row r="15" spans="3:33" hidden="1" x14ac:dyDescent="0.3">
      <c r="C15" s="11">
        <f t="shared" si="0"/>
        <v>2033</v>
      </c>
      <c r="D15" s="79">
        <f>Populacao!I93</f>
        <v>0</v>
      </c>
      <c r="AF15" s="109">
        <v>8</v>
      </c>
      <c r="AG15" s="109" t="str">
        <f>(IF(AF15&gt;controle_formulario!$I$16,"Ocultar",""))</f>
        <v>Ocultar</v>
      </c>
    </row>
    <row r="16" spans="3:33" hidden="1" x14ac:dyDescent="0.3">
      <c r="C16" s="11">
        <f t="shared" si="0"/>
        <v>2034</v>
      </c>
      <c r="D16" s="79">
        <f>Populacao!I94</f>
        <v>0</v>
      </c>
      <c r="AF16" s="109">
        <v>9</v>
      </c>
      <c r="AG16" s="109" t="str">
        <f>(IF(AF16&gt;controle_formulario!$I$16,"Ocultar",""))</f>
        <v>Ocultar</v>
      </c>
    </row>
    <row r="17" spans="3:33" hidden="1" x14ac:dyDescent="0.3">
      <c r="C17" s="11">
        <f t="shared" si="0"/>
        <v>2035</v>
      </c>
      <c r="D17" s="79">
        <f>Populacao!I95</f>
        <v>0</v>
      </c>
      <c r="AF17" s="109">
        <v>10</v>
      </c>
      <c r="AG17" s="109" t="str">
        <f>(IF(AF17&gt;controle_formulario!$I$16,"Ocultar",""))</f>
        <v>Ocultar</v>
      </c>
    </row>
    <row r="18" spans="3:33" x14ac:dyDescent="0.3">
      <c r="C18" s="80" t="s">
        <v>122</v>
      </c>
      <c r="D18" s="174">
        <f ca="1">SUM(D8:D17)/(IF(D8&gt;0,1)+IF(D9&gt;0,1)+IF(D10&gt;0,1)+IF(D11&gt;0,1)+IF(D12&gt;0,1)+IF(D13&gt;0,1)+IF(D14&gt;0,1)+IF(D15&gt;0,1)+IF(D16&gt;0,1)+IF(D17&gt;0,1))</f>
        <v>36.134499663796689</v>
      </c>
    </row>
    <row r="21" spans="3:33" x14ac:dyDescent="0.3">
      <c r="C21" s="149" t="str">
        <f>"Cotas de mercado de" &amp;trat.novo</f>
        <v>Cotas de mercado dePirtobrutinibe</v>
      </c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</row>
    <row r="22" spans="3:33" ht="28.8" x14ac:dyDescent="0.3">
      <c r="C22" s="53" t="s">
        <v>53</v>
      </c>
      <c r="D22" s="102" t="str">
        <f>cen.ref</f>
        <v>Sem pirtobrutinibe</v>
      </c>
      <c r="E22" s="102" t="str">
        <f>cen.alt1</f>
        <v>Incorporação progressiva- pirtobrutinibe</v>
      </c>
      <c r="F22" s="102">
        <f>cen.alt2</f>
        <v>0</v>
      </c>
      <c r="G22" s="102" t="str">
        <f>cen.alt3</f>
        <v>Taxa de difusão em X anos: XX%</v>
      </c>
      <c r="H22" s="102" t="str">
        <f>cen.alt4</f>
        <v>Taxa de difusão em X anos: XX%</v>
      </c>
      <c r="I22" s="102" t="str">
        <f>cen.alt5</f>
        <v>Taxa de difusão em X anos: XX%</v>
      </c>
      <c r="J22" s="102" t="str">
        <f>cen.alt6</f>
        <v>Taxa de difusão em X anos: XX%</v>
      </c>
      <c r="K22" s="102" t="str">
        <f>cen.alt7</f>
        <v>Taxa de difusão em X anos: XX%</v>
      </c>
      <c r="L22" s="102" t="str">
        <f>cen.alt8</f>
        <v>Taxa de difusão em X anos: XX%</v>
      </c>
      <c r="M22" s="102" t="str">
        <f>cen.alt9</f>
        <v>Taxa de difusão em X anos: XX%</v>
      </c>
      <c r="N22" s="102" t="str">
        <f>cen.alt10</f>
        <v>Taxa de difusão em X anos: XX%</v>
      </c>
    </row>
    <row r="23" spans="3:33" x14ac:dyDescent="0.3">
      <c r="C23" s="11">
        <f>Criterios!$C$31</f>
        <v>2026</v>
      </c>
      <c r="D23" s="150">
        <f>'Market Share'!D8</f>
        <v>0</v>
      </c>
      <c r="E23" s="150">
        <f>'Market Share'!L8</f>
        <v>0.7</v>
      </c>
      <c r="F23" s="150">
        <f>'Market Share'!D24</f>
        <v>0.8</v>
      </c>
      <c r="G23" s="150">
        <f>'Market Share'!L24</f>
        <v>0</v>
      </c>
      <c r="H23" s="150">
        <f>'Market Share'!D40</f>
        <v>0</v>
      </c>
      <c r="I23" s="150">
        <f>'Market Share'!L40</f>
        <v>0</v>
      </c>
      <c r="J23" s="150">
        <f>'Market Share'!D56</f>
        <v>0</v>
      </c>
      <c r="K23" s="150">
        <f>'Market Share'!L56</f>
        <v>0</v>
      </c>
      <c r="L23" s="150">
        <f>'Market Share'!D72</f>
        <v>0</v>
      </c>
      <c r="M23" s="150">
        <f>'Market Share'!L72</f>
        <v>0</v>
      </c>
      <c r="N23" s="150">
        <f>'Market Share'!D88</f>
        <v>0</v>
      </c>
    </row>
    <row r="24" spans="3:33" x14ac:dyDescent="0.3">
      <c r="C24" s="11">
        <f>C23+1</f>
        <v>2027</v>
      </c>
      <c r="D24" s="150">
        <f>'Market Share'!D9</f>
        <v>0</v>
      </c>
      <c r="E24" s="150">
        <f>'Market Share'!L9</f>
        <v>0.75</v>
      </c>
      <c r="F24" s="150">
        <f>'Market Share'!D25</f>
        <v>0.9</v>
      </c>
      <c r="G24" s="150">
        <f>'Market Share'!L25</f>
        <v>0</v>
      </c>
      <c r="H24" s="150">
        <f>'Market Share'!D41</f>
        <v>0</v>
      </c>
      <c r="I24" s="150">
        <f>'Market Share'!L41</f>
        <v>0</v>
      </c>
      <c r="J24" s="150">
        <f>'Market Share'!D57</f>
        <v>0</v>
      </c>
      <c r="K24" s="150">
        <f>'Market Share'!L57</f>
        <v>0</v>
      </c>
      <c r="L24" s="150">
        <f>'Market Share'!D73</f>
        <v>0</v>
      </c>
      <c r="M24" s="150">
        <f>'Market Share'!L73</f>
        <v>0</v>
      </c>
      <c r="N24" s="150">
        <f>'Market Share'!D89</f>
        <v>0</v>
      </c>
      <c r="AF24" s="109">
        <v>2</v>
      </c>
      <c r="AG24" s="109" t="str">
        <f>(IF(AF24&gt;controle_formulario!$I$16,"Ocultar",""))</f>
        <v/>
      </c>
    </row>
    <row r="25" spans="3:33" x14ac:dyDescent="0.3">
      <c r="C25" s="11">
        <f t="shared" ref="C25:C32" si="1">C24+1</f>
        <v>2028</v>
      </c>
      <c r="D25" s="150">
        <f>'Market Share'!D10</f>
        <v>0</v>
      </c>
      <c r="E25" s="150">
        <f>'Market Share'!L10</f>
        <v>0.8</v>
      </c>
      <c r="F25" s="150">
        <f>'Market Share'!D26</f>
        <v>0.9</v>
      </c>
      <c r="G25" s="150">
        <f>'Market Share'!L26</f>
        <v>0</v>
      </c>
      <c r="H25" s="150">
        <f>'Market Share'!D42</f>
        <v>0</v>
      </c>
      <c r="I25" s="150">
        <f>'Market Share'!L42</f>
        <v>0</v>
      </c>
      <c r="J25" s="150">
        <f>'Market Share'!D58</f>
        <v>0</v>
      </c>
      <c r="K25" s="150">
        <f>'Market Share'!L58</f>
        <v>0</v>
      </c>
      <c r="L25" s="150">
        <f>'Market Share'!D74</f>
        <v>0</v>
      </c>
      <c r="M25" s="150">
        <f>'Market Share'!L74</f>
        <v>0</v>
      </c>
      <c r="N25" s="150">
        <f>'Market Share'!D90</f>
        <v>0</v>
      </c>
      <c r="AF25" s="109">
        <v>3</v>
      </c>
      <c r="AG25" s="109" t="str">
        <f>(IF(AF25&gt;controle_formulario!$I$16,"Ocultar",""))</f>
        <v/>
      </c>
    </row>
    <row r="26" spans="3:33" x14ac:dyDescent="0.3">
      <c r="C26" s="11">
        <f t="shared" si="1"/>
        <v>2029</v>
      </c>
      <c r="D26" s="150">
        <f>'Market Share'!D11</f>
        <v>0</v>
      </c>
      <c r="E26" s="150">
        <f>'Market Share'!L11</f>
        <v>0.85</v>
      </c>
      <c r="F26" s="150">
        <f>'Market Share'!D27</f>
        <v>0.9</v>
      </c>
      <c r="G26" s="150">
        <f>'Market Share'!L27</f>
        <v>0</v>
      </c>
      <c r="H26" s="150">
        <f>'Market Share'!D43</f>
        <v>0</v>
      </c>
      <c r="I26" s="150">
        <f>'Market Share'!L43</f>
        <v>0</v>
      </c>
      <c r="J26" s="150">
        <f>'Market Share'!D59</f>
        <v>0</v>
      </c>
      <c r="K26" s="150">
        <f>'Market Share'!L59</f>
        <v>0</v>
      </c>
      <c r="L26" s="150">
        <f>'Market Share'!D75</f>
        <v>0</v>
      </c>
      <c r="M26" s="150">
        <f>'Market Share'!L75</f>
        <v>0</v>
      </c>
      <c r="N26" s="150">
        <f>'Market Share'!D91</f>
        <v>0</v>
      </c>
      <c r="AF26" s="109">
        <v>4</v>
      </c>
      <c r="AG26" s="109" t="str">
        <f>(IF(AF26&gt;controle_formulario!$I$16,"Ocultar",""))</f>
        <v/>
      </c>
    </row>
    <row r="27" spans="3:33" x14ac:dyDescent="0.3">
      <c r="C27" s="11">
        <f t="shared" si="1"/>
        <v>2030</v>
      </c>
      <c r="D27" s="150">
        <f>'Market Share'!D12</f>
        <v>0</v>
      </c>
      <c r="E27" s="150">
        <f>'Market Share'!L12</f>
        <v>0.9</v>
      </c>
      <c r="F27" s="150">
        <f>'Market Share'!D28</f>
        <v>0.9</v>
      </c>
      <c r="G27" s="150">
        <f>'Market Share'!L28</f>
        <v>0</v>
      </c>
      <c r="H27" s="150">
        <f>'Market Share'!D44</f>
        <v>0</v>
      </c>
      <c r="I27" s="150">
        <f>'Market Share'!L44</f>
        <v>0</v>
      </c>
      <c r="J27" s="150">
        <f>'Market Share'!D60</f>
        <v>0</v>
      </c>
      <c r="K27" s="150">
        <f>'Market Share'!L60</f>
        <v>0</v>
      </c>
      <c r="L27" s="150">
        <f>'Market Share'!D76</f>
        <v>0</v>
      </c>
      <c r="M27" s="150">
        <f>'Market Share'!L76</f>
        <v>0</v>
      </c>
      <c r="N27" s="150">
        <f>'Market Share'!D92</f>
        <v>0</v>
      </c>
      <c r="AF27" s="109">
        <v>5</v>
      </c>
      <c r="AG27" s="109" t="str">
        <f>(IF(AF27&gt;controle_formulario!$I$16,"Ocultar",""))</f>
        <v/>
      </c>
    </row>
    <row r="28" spans="3:33" hidden="1" x14ac:dyDescent="0.3">
      <c r="C28" s="11">
        <f t="shared" si="1"/>
        <v>2031</v>
      </c>
      <c r="D28" s="150">
        <f>'Market Share'!D13</f>
        <v>0</v>
      </c>
      <c r="E28" s="150">
        <f>'Market Share'!L13</f>
        <v>0</v>
      </c>
      <c r="F28" s="150">
        <f>'Market Share'!D29</f>
        <v>0</v>
      </c>
      <c r="G28" s="150">
        <f>'Market Share'!L29</f>
        <v>0</v>
      </c>
      <c r="H28" s="150">
        <f>'Market Share'!D45</f>
        <v>0</v>
      </c>
      <c r="I28" s="150">
        <f>'Market Share'!L45</f>
        <v>0</v>
      </c>
      <c r="J28" s="150">
        <f>'Market Share'!D61</f>
        <v>0</v>
      </c>
      <c r="K28" s="150">
        <f>'Market Share'!L61</f>
        <v>0</v>
      </c>
      <c r="L28" s="150">
        <f>'Market Share'!D77</f>
        <v>0</v>
      </c>
      <c r="M28" s="150">
        <f>'Market Share'!L77</f>
        <v>0</v>
      </c>
      <c r="N28" s="150">
        <f>'Market Share'!D93</f>
        <v>0</v>
      </c>
      <c r="AF28" s="109">
        <v>6</v>
      </c>
      <c r="AG28" s="109" t="str">
        <f>(IF(AF28&gt;controle_formulario!$I$16,"Ocultar",""))</f>
        <v>Ocultar</v>
      </c>
    </row>
    <row r="29" spans="3:33" hidden="1" x14ac:dyDescent="0.3">
      <c r="C29" s="11">
        <f t="shared" si="1"/>
        <v>2032</v>
      </c>
      <c r="D29" s="150">
        <f>'Market Share'!D14</f>
        <v>0</v>
      </c>
      <c r="E29" s="150">
        <f>'Market Share'!L14</f>
        <v>0</v>
      </c>
      <c r="F29" s="150">
        <f>'Market Share'!D30</f>
        <v>0</v>
      </c>
      <c r="G29" s="150">
        <f>'Market Share'!L30</f>
        <v>0</v>
      </c>
      <c r="H29" s="150">
        <f>'Market Share'!D46</f>
        <v>0</v>
      </c>
      <c r="I29" s="150">
        <f>'Market Share'!L46</f>
        <v>0</v>
      </c>
      <c r="J29" s="150">
        <f>'Market Share'!D62</f>
        <v>0</v>
      </c>
      <c r="K29" s="150">
        <f>'Market Share'!L62</f>
        <v>0</v>
      </c>
      <c r="L29" s="150">
        <f>'Market Share'!D78</f>
        <v>0</v>
      </c>
      <c r="M29" s="150">
        <f>'Market Share'!L78</f>
        <v>0</v>
      </c>
      <c r="N29" s="150">
        <f>'Market Share'!D94</f>
        <v>0</v>
      </c>
      <c r="AF29" s="109">
        <v>7</v>
      </c>
      <c r="AG29" s="109" t="str">
        <f>(IF(AF29&gt;controle_formulario!$I$16,"Ocultar",""))</f>
        <v>Ocultar</v>
      </c>
    </row>
    <row r="30" spans="3:33" hidden="1" x14ac:dyDescent="0.3">
      <c r="C30" s="11">
        <f t="shared" si="1"/>
        <v>2033</v>
      </c>
      <c r="D30" s="150">
        <f>'Market Share'!D15</f>
        <v>0</v>
      </c>
      <c r="E30" s="150">
        <f>'Market Share'!L15</f>
        <v>0</v>
      </c>
      <c r="F30" s="150">
        <f>'Market Share'!D31</f>
        <v>0</v>
      </c>
      <c r="G30" s="150">
        <f>'Market Share'!L31</f>
        <v>0</v>
      </c>
      <c r="H30" s="150">
        <f>'Market Share'!D47</f>
        <v>0</v>
      </c>
      <c r="I30" s="150">
        <f>'Market Share'!L47</f>
        <v>0</v>
      </c>
      <c r="J30" s="150">
        <f>'Market Share'!D63</f>
        <v>0</v>
      </c>
      <c r="K30" s="150">
        <f>'Market Share'!L63</f>
        <v>0</v>
      </c>
      <c r="L30" s="150">
        <f>'Market Share'!D79</f>
        <v>0</v>
      </c>
      <c r="M30" s="150">
        <f>'Market Share'!L79</f>
        <v>0</v>
      </c>
      <c r="N30" s="150">
        <f>'Market Share'!D95</f>
        <v>0</v>
      </c>
      <c r="AF30" s="109">
        <v>8</v>
      </c>
      <c r="AG30" s="109" t="str">
        <f>(IF(AF30&gt;controle_formulario!$I$16,"Ocultar",""))</f>
        <v>Ocultar</v>
      </c>
    </row>
    <row r="31" spans="3:33" hidden="1" x14ac:dyDescent="0.3">
      <c r="C31" s="11">
        <f t="shared" si="1"/>
        <v>2034</v>
      </c>
      <c r="D31" s="150">
        <f>'Market Share'!D16</f>
        <v>0</v>
      </c>
      <c r="E31" s="150">
        <f>'Market Share'!L16</f>
        <v>0</v>
      </c>
      <c r="F31" s="150">
        <f>'Market Share'!D32</f>
        <v>0</v>
      </c>
      <c r="G31" s="150">
        <f>'Market Share'!L32</f>
        <v>0</v>
      </c>
      <c r="H31" s="150">
        <f>'Market Share'!D48</f>
        <v>0</v>
      </c>
      <c r="I31" s="150">
        <f>'Market Share'!L48</f>
        <v>0</v>
      </c>
      <c r="J31" s="150">
        <f>'Market Share'!D64</f>
        <v>0</v>
      </c>
      <c r="K31" s="150">
        <f>'Market Share'!L64</f>
        <v>0</v>
      </c>
      <c r="L31" s="150">
        <f>'Market Share'!D80</f>
        <v>0</v>
      </c>
      <c r="M31" s="150">
        <f>'Market Share'!L80</f>
        <v>0</v>
      </c>
      <c r="N31" s="150">
        <f>'Market Share'!D96</f>
        <v>0</v>
      </c>
      <c r="AF31" s="109">
        <v>9</v>
      </c>
      <c r="AG31" s="109" t="str">
        <f>(IF(AF31&gt;controle_formulario!$I$16,"Ocultar",""))</f>
        <v>Ocultar</v>
      </c>
    </row>
    <row r="32" spans="3:33" hidden="1" x14ac:dyDescent="0.3">
      <c r="C32" s="11">
        <f t="shared" si="1"/>
        <v>2035</v>
      </c>
      <c r="D32" s="16">
        <f>'Market Share'!D17</f>
        <v>0</v>
      </c>
      <c r="E32" s="16">
        <f>'Market Share'!L17</f>
        <v>0</v>
      </c>
      <c r="F32" s="16">
        <f>'Market Share'!D33</f>
        <v>0</v>
      </c>
      <c r="G32" s="16">
        <f>'Market Share'!L33</f>
        <v>0</v>
      </c>
      <c r="H32" s="16">
        <f>'Market Share'!D49</f>
        <v>0</v>
      </c>
      <c r="I32" s="16">
        <f>'Market Share'!L49</f>
        <v>0</v>
      </c>
      <c r="J32" s="16">
        <f>'Market Share'!D65</f>
        <v>0</v>
      </c>
      <c r="K32" s="16">
        <f>'Market Share'!L65</f>
        <v>0</v>
      </c>
      <c r="L32" s="16">
        <f>'Market Share'!D81</f>
        <v>0</v>
      </c>
      <c r="M32" s="16">
        <f>'Market Share'!L81</f>
        <v>0</v>
      </c>
      <c r="N32" s="16">
        <f>'Market Share'!D97</f>
        <v>0</v>
      </c>
      <c r="AF32" s="109">
        <v>10</v>
      </c>
      <c r="AG32" s="109" t="str">
        <f>(IF(AF32&gt;controle_formulario!$I$16,"Ocultar",""))</f>
        <v>Ocultar</v>
      </c>
    </row>
    <row r="33" spans="3:33" ht="5.25" customHeight="1" x14ac:dyDescent="0.3">
      <c r="C33" s="151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</row>
    <row r="36" spans="3:33" x14ac:dyDescent="0.3">
      <c r="C36" s="149" t="s">
        <v>118</v>
      </c>
      <c r="D36" s="103"/>
    </row>
    <row r="37" spans="3:33" x14ac:dyDescent="0.3">
      <c r="C37" s="53" t="s">
        <v>120</v>
      </c>
      <c r="D37" s="102" t="s">
        <v>119</v>
      </c>
    </row>
    <row r="38" spans="3:33" ht="48.6" customHeight="1" x14ac:dyDescent="0.3">
      <c r="C38" s="83" t="str">
        <f>Custos!E7</f>
        <v>Pirtobrutinibe</v>
      </c>
      <c r="D38" s="79">
        <f>'custo por semana'!C5</f>
        <v>470468.67999999976</v>
      </c>
    </row>
    <row r="39" spans="3:33" ht="51" customHeight="1" x14ac:dyDescent="0.3">
      <c r="C39" s="127" t="str">
        <f>Custos!F7</f>
        <v xml:space="preserve"> Conjunto de Tratamentos-Padrão</v>
      </c>
      <c r="D39" s="79" t="e">
        <f>'custo por semana'!#REF!</f>
        <v>#REF!</v>
      </c>
    </row>
    <row r="40" spans="3:33" ht="33" customHeight="1" x14ac:dyDescent="0.3">
      <c r="C40" s="127">
        <f>Custos!G7</f>
        <v>0</v>
      </c>
      <c r="D40" s="79">
        <f>Custos!G20</f>
        <v>0</v>
      </c>
      <c r="AF40" s="109">
        <v>2</v>
      </c>
      <c r="AG40" s="109" t="str">
        <f>IF(AF40&gt;controle_formulario!$C$10,"Ocultar","")</f>
        <v>Ocultar</v>
      </c>
    </row>
    <row r="41" spans="3:33" ht="33" hidden="1" customHeight="1" x14ac:dyDescent="0.3">
      <c r="C41" s="127">
        <f>Custos!H7</f>
        <v>0</v>
      </c>
      <c r="D41" s="79">
        <f>Custos!H20</f>
        <v>0</v>
      </c>
      <c r="AF41" s="109">
        <v>3</v>
      </c>
      <c r="AG41" s="109" t="str">
        <f>IF(AF41&gt;controle_formulario!$C$10,"Ocultar","")</f>
        <v>Ocultar</v>
      </c>
    </row>
    <row r="42" spans="3:33" ht="33" hidden="1" customHeight="1" x14ac:dyDescent="0.3">
      <c r="C42" s="127">
        <f>Custos!I7</f>
        <v>0</v>
      </c>
      <c r="D42" s="84">
        <f>Custos!I20</f>
        <v>0</v>
      </c>
      <c r="AF42" s="109">
        <v>4</v>
      </c>
      <c r="AG42" s="109" t="str">
        <f>IF(AF42&gt;controle_formulario!$C$10,"Ocultar","")</f>
        <v>Ocultar</v>
      </c>
    </row>
    <row r="43" spans="3:33" ht="5.25" customHeight="1" x14ac:dyDescent="0.3">
      <c r="C43" s="168"/>
      <c r="D43" s="168"/>
      <c r="AF43" s="109"/>
      <c r="AG43" s="109"/>
    </row>
    <row r="44" spans="3:33" x14ac:dyDescent="0.3">
      <c r="C44" s="11"/>
      <c r="D44" s="84"/>
      <c r="AF44" s="109"/>
      <c r="AG44" s="109"/>
    </row>
    <row r="45" spans="3:33" x14ac:dyDescent="0.3">
      <c r="C45" s="149" t="s">
        <v>121</v>
      </c>
      <c r="D45" s="103"/>
      <c r="AF45" s="109"/>
      <c r="AG45" s="109"/>
    </row>
    <row r="46" spans="3:33" x14ac:dyDescent="0.3">
      <c r="C46" s="53" t="s">
        <v>120</v>
      </c>
      <c r="D46" s="102" t="s">
        <v>119</v>
      </c>
      <c r="AF46" s="109"/>
      <c r="AG46" s="109"/>
    </row>
    <row r="47" spans="3:33" ht="32.25" customHeight="1" x14ac:dyDescent="0.3">
      <c r="C47" s="127" t="str">
        <f>Custos!E35</f>
        <v>Pirtobrutinibe</v>
      </c>
      <c r="D47" s="79">
        <f>Custos!E48</f>
        <v>0</v>
      </c>
      <c r="AF47" s="109"/>
      <c r="AG47" s="109"/>
    </row>
    <row r="48" spans="3:33" ht="32.25" customHeight="1" x14ac:dyDescent="0.3">
      <c r="C48" s="127" t="str">
        <f>Custos!F35</f>
        <v xml:space="preserve"> Conjunto de Tratamentos-Padrão</v>
      </c>
      <c r="D48" s="79">
        <f>Custos!F48</f>
        <v>0</v>
      </c>
      <c r="AF48" s="109"/>
      <c r="AG48" s="109"/>
    </row>
    <row r="49" spans="3:33" ht="32.25" hidden="1" customHeight="1" x14ac:dyDescent="0.3">
      <c r="C49" s="127">
        <f>Custos!G35</f>
        <v>0</v>
      </c>
      <c r="D49" s="79">
        <f>Custos!G48</f>
        <v>0</v>
      </c>
      <c r="AF49" s="109">
        <v>2</v>
      </c>
      <c r="AG49" s="109" t="str">
        <f>IF(AF49&gt;controle_formulario!$C$10,"Ocultar","")</f>
        <v>Ocultar</v>
      </c>
    </row>
    <row r="50" spans="3:33" ht="32.25" hidden="1" customHeight="1" x14ac:dyDescent="0.3">
      <c r="C50" s="127">
        <f>Custos!H35</f>
        <v>0</v>
      </c>
      <c r="D50" s="79">
        <f>Custos!H48</f>
        <v>0</v>
      </c>
      <c r="AF50" s="109">
        <v>3</v>
      </c>
      <c r="AG50" s="109" t="str">
        <f>IF(AF50&gt;controle_formulario!$C$10,"Ocultar","")</f>
        <v>Ocultar</v>
      </c>
    </row>
    <row r="51" spans="3:33" ht="32.25" hidden="1" customHeight="1" x14ac:dyDescent="0.3">
      <c r="C51" s="127">
        <f>Custos!I35</f>
        <v>0</v>
      </c>
      <c r="D51" s="84">
        <f>Custos!I48</f>
        <v>0</v>
      </c>
      <c r="AF51" s="109">
        <v>4</v>
      </c>
      <c r="AG51" s="109" t="str">
        <f>IF(AF51&gt;controle_formulario!$C$10,"Ocultar","")</f>
        <v>Ocultar</v>
      </c>
    </row>
    <row r="52" spans="3:33" ht="6" customHeight="1" x14ac:dyDescent="0.3">
      <c r="C52" s="168"/>
      <c r="D52" s="168"/>
      <c r="AF52" s="109"/>
      <c r="AG52" s="109"/>
    </row>
    <row r="53" spans="3:33" x14ac:dyDescent="0.3">
      <c r="C53" s="81"/>
      <c r="D53" s="81"/>
      <c r="E53" s="81"/>
      <c r="F53" s="81"/>
      <c r="G53" s="81"/>
      <c r="I53" s="81"/>
      <c r="J53" s="81"/>
      <c r="K53" s="81"/>
    </row>
    <row r="54" spans="3:33" x14ac:dyDescent="0.3">
      <c r="C54" s="149" t="s">
        <v>51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</row>
    <row r="55" spans="3:33" ht="28.8" x14ac:dyDescent="0.3">
      <c r="C55" s="53" t="s">
        <v>53</v>
      </c>
      <c r="D55" s="102" t="str">
        <f>cen.ref</f>
        <v>Sem pirtobrutinibe</v>
      </c>
      <c r="E55" s="102" t="str">
        <f>cen.alt1</f>
        <v>Incorporação progressiva- pirtobrutinibe</v>
      </c>
      <c r="F55" s="102">
        <f>cen.alt2</f>
        <v>0</v>
      </c>
      <c r="G55" s="102" t="str">
        <f>cen.alt3</f>
        <v>Taxa de difusão em X anos: XX%</v>
      </c>
      <c r="H55" s="102" t="str">
        <f>cen.alt4</f>
        <v>Taxa de difusão em X anos: XX%</v>
      </c>
      <c r="I55" s="102" t="str">
        <f>cen.alt5</f>
        <v>Taxa de difusão em X anos: XX%</v>
      </c>
      <c r="J55" s="102" t="str">
        <f>cen.alt6</f>
        <v>Taxa de difusão em X anos: XX%</v>
      </c>
      <c r="K55" s="102" t="str">
        <f>cen.alt7</f>
        <v>Taxa de difusão em X anos: XX%</v>
      </c>
      <c r="L55" s="102" t="str">
        <f>cen.alt8</f>
        <v>Taxa de difusão em X anos: XX%</v>
      </c>
      <c r="M55" s="102" t="str">
        <f>cen.alt9</f>
        <v>Taxa de difusão em X anos: XX%</v>
      </c>
      <c r="N55" s="102" t="str">
        <f>cen.alt10</f>
        <v>Taxa de difusão em X anos: XX%</v>
      </c>
    </row>
    <row r="56" spans="3:33" ht="18.75" customHeight="1" x14ac:dyDescent="0.3">
      <c r="C56" s="11">
        <f>Criterios!$C$31</f>
        <v>2026</v>
      </c>
      <c r="D56" s="79">
        <f ca="1">Cenarios!I8</f>
        <v>4110544.4385289042</v>
      </c>
      <c r="E56" s="79">
        <f ca="1">Cenarios!Q8</f>
        <v>13193725.037933065</v>
      </c>
      <c r="F56" s="79">
        <f ca="1">Cenarios!I24</f>
        <v>14426075.529299868</v>
      </c>
      <c r="G56" s="79">
        <f ca="1">Cenarios!Q24</f>
        <v>0</v>
      </c>
      <c r="H56" s="79">
        <f ca="1">Cenarios!I40</f>
        <v>0</v>
      </c>
      <c r="I56" s="79">
        <f ca="1">Cenarios!Q40</f>
        <v>0</v>
      </c>
      <c r="J56" s="79">
        <f ca="1">Cenarios!I56</f>
        <v>0</v>
      </c>
      <c r="K56" s="79">
        <f ca="1">Cenarios!Q56</f>
        <v>0</v>
      </c>
      <c r="L56" s="79">
        <f ca="1">Cenarios!I72</f>
        <v>0</v>
      </c>
      <c r="M56" s="79">
        <f ca="1">Cenarios!Q72</f>
        <v>0</v>
      </c>
      <c r="N56" s="79">
        <f ca="1">Cenarios!I88</f>
        <v>0</v>
      </c>
      <c r="O56" s="56"/>
      <c r="P56" s="56"/>
      <c r="AF56" s="109">
        <v>1</v>
      </c>
      <c r="AG56" s="109" t="str">
        <f>(IF(AF56&gt;controle_formulario!$I$16,"Ocultar",""))</f>
        <v/>
      </c>
    </row>
    <row r="57" spans="3:33" ht="16.5" customHeight="1" x14ac:dyDescent="0.3">
      <c r="C57" s="11">
        <f>C56+1</f>
        <v>2027</v>
      </c>
      <c r="D57" s="79">
        <f ca="1">Cenarios!I9</f>
        <v>4124866.8092641174</v>
      </c>
      <c r="E57" s="79">
        <f ca="1">Cenarios!Q9</f>
        <v>13858018.121687833</v>
      </c>
      <c r="F57" s="79">
        <f ca="1">Cenarios!I25</f>
        <v>15712984.677300038</v>
      </c>
      <c r="G57" s="79">
        <f ca="1">Cenarios!Q25</f>
        <v>0</v>
      </c>
      <c r="H57" s="79">
        <f ca="1">Cenarios!I41</f>
        <v>0</v>
      </c>
      <c r="I57" s="79">
        <f ca="1">Cenarios!Q41</f>
        <v>0</v>
      </c>
      <c r="J57" s="79">
        <f ca="1">Cenarios!I57</f>
        <v>0</v>
      </c>
      <c r="K57" s="79">
        <f ca="1">Cenarios!Q57</f>
        <v>0</v>
      </c>
      <c r="L57" s="79">
        <f ca="1">Cenarios!I73</f>
        <v>0</v>
      </c>
      <c r="M57" s="79">
        <f ca="1">Cenarios!Q73</f>
        <v>0</v>
      </c>
      <c r="N57" s="79">
        <f ca="1">Cenarios!I89</f>
        <v>0</v>
      </c>
      <c r="AF57" s="109">
        <v>2</v>
      </c>
      <c r="AG57" s="109" t="str">
        <f>(IF(AF57&gt;controle_formulario!$I$16,"Ocultar",""))</f>
        <v/>
      </c>
    </row>
    <row r="58" spans="3:33" x14ac:dyDescent="0.3">
      <c r="C58" s="11">
        <f t="shared" ref="C58:C65" si="2">C57+1</f>
        <v>2028</v>
      </c>
      <c r="D58" s="79">
        <f ca="1">Cenarios!I10</f>
        <v>4138105.4151356164</v>
      </c>
      <c r="E58" s="79">
        <f ca="1">Cenarios!Q10</f>
        <v>14522801.580103004</v>
      </c>
      <c r="F58" s="79">
        <f ca="1">Cenarios!I26</f>
        <v>15763414.9144026</v>
      </c>
      <c r="G58" s="79">
        <f ca="1">Cenarios!Q26</f>
        <v>0</v>
      </c>
      <c r="H58" s="79">
        <f ca="1">Cenarios!I42</f>
        <v>0</v>
      </c>
      <c r="I58" s="79">
        <f ca="1">Cenarios!Q42</f>
        <v>0</v>
      </c>
      <c r="J58" s="79">
        <f ca="1">Cenarios!I58</f>
        <v>0</v>
      </c>
      <c r="K58" s="79">
        <f ca="1">Cenarios!Q58</f>
        <v>0</v>
      </c>
      <c r="L58" s="79">
        <f ca="1">Cenarios!I74</f>
        <v>0</v>
      </c>
      <c r="M58" s="79">
        <f ca="1">Cenarios!Q74</f>
        <v>0</v>
      </c>
      <c r="N58" s="79">
        <f ca="1">Cenarios!I90</f>
        <v>0</v>
      </c>
      <c r="AF58" s="109">
        <v>3</v>
      </c>
      <c r="AG58" s="109" t="str">
        <f>(IF(AF58&gt;controle_formulario!$I$16,"Ocultar",""))</f>
        <v/>
      </c>
    </row>
    <row r="59" spans="3:33" x14ac:dyDescent="0.3">
      <c r="C59" s="11">
        <f t="shared" si="2"/>
        <v>2029</v>
      </c>
      <c r="D59" s="79">
        <f ca="1">Cenarios!I11</f>
        <v>4150388.9087994657</v>
      </c>
      <c r="E59" s="79">
        <f ca="1">Cenarios!Q11</f>
        <v>15188058.83587864</v>
      </c>
      <c r="F59" s="79">
        <f ca="1">Cenarios!I27</f>
        <v>15810206.812577421</v>
      </c>
      <c r="G59" s="79">
        <f ca="1">Cenarios!Q27</f>
        <v>0</v>
      </c>
      <c r="H59" s="79">
        <f ca="1">Cenarios!I43</f>
        <v>0</v>
      </c>
      <c r="I59" s="79">
        <f ca="1">Cenarios!Q43</f>
        <v>0</v>
      </c>
      <c r="J59" s="79">
        <f ca="1">Cenarios!I59</f>
        <v>0</v>
      </c>
      <c r="K59" s="79">
        <f ca="1">Cenarios!Q59</f>
        <v>0</v>
      </c>
      <c r="L59" s="79">
        <f ca="1">Cenarios!I75</f>
        <v>0</v>
      </c>
      <c r="M59" s="79">
        <f ca="1">Cenarios!Q75</f>
        <v>0</v>
      </c>
      <c r="N59" s="79">
        <f ca="1">Cenarios!I91</f>
        <v>0</v>
      </c>
      <c r="P59" s="146"/>
      <c r="AF59" s="109">
        <v>4</v>
      </c>
      <c r="AG59" s="109" t="str">
        <f>(IF(AF59&gt;controle_formulario!$I$16,"Ocultar",""))</f>
        <v/>
      </c>
    </row>
    <row r="60" spans="3:33" x14ac:dyDescent="0.3">
      <c r="C60" s="11">
        <f t="shared" si="2"/>
        <v>2030</v>
      </c>
      <c r="D60" s="79">
        <f ca="1">Cenarios!I12</f>
        <v>4161902.8822933384</v>
      </c>
      <c r="E60" s="79">
        <f ca="1">Cenarios!Q12</f>
        <v>15854067.353402093</v>
      </c>
      <c r="F60" s="79">
        <f ca="1">Cenarios!I28</f>
        <v>15854067.353402093</v>
      </c>
      <c r="G60" s="79">
        <f ca="1">Cenarios!Q28</f>
        <v>0</v>
      </c>
      <c r="H60" s="79">
        <f ca="1">Cenarios!I44</f>
        <v>0</v>
      </c>
      <c r="I60" s="79">
        <f ca="1">Cenarios!Q44</f>
        <v>0</v>
      </c>
      <c r="J60" s="79">
        <f ca="1">Cenarios!I60</f>
        <v>0</v>
      </c>
      <c r="K60" s="79">
        <f ca="1">Cenarios!Q60</f>
        <v>0</v>
      </c>
      <c r="L60" s="79">
        <f ca="1">Cenarios!I76</f>
        <v>0</v>
      </c>
      <c r="M60" s="79">
        <f ca="1">Cenarios!Q76</f>
        <v>0</v>
      </c>
      <c r="N60" s="79">
        <f ca="1">Cenarios!I92</f>
        <v>0</v>
      </c>
      <c r="P60" s="146"/>
      <c r="AF60" s="109">
        <v>5</v>
      </c>
      <c r="AG60" s="109" t="str">
        <f>(IF(AF60&gt;controle_formulario!$I$16,"Ocultar",""))</f>
        <v/>
      </c>
    </row>
    <row r="61" spans="3:33" hidden="1" x14ac:dyDescent="0.3">
      <c r="C61" s="11">
        <f t="shared" si="2"/>
        <v>2031</v>
      </c>
      <c r="D61" s="79">
        <f ca="1">Cenarios!I13</f>
        <v>0</v>
      </c>
      <c r="E61" s="79">
        <f ca="1">Cenarios!Q13</f>
        <v>0</v>
      </c>
      <c r="F61" s="79">
        <f ca="1">Cenarios!I29</f>
        <v>0</v>
      </c>
      <c r="G61" s="79">
        <f ca="1">Cenarios!Q29</f>
        <v>0</v>
      </c>
      <c r="H61" s="79">
        <f ca="1">Cenarios!I45</f>
        <v>0</v>
      </c>
      <c r="I61" s="79">
        <f ca="1">Cenarios!Q45</f>
        <v>0</v>
      </c>
      <c r="J61" s="79">
        <f ca="1">Cenarios!I61</f>
        <v>0</v>
      </c>
      <c r="K61" s="79">
        <f ca="1">Cenarios!Q61</f>
        <v>0</v>
      </c>
      <c r="L61" s="79">
        <f ca="1">Cenarios!I77</f>
        <v>0</v>
      </c>
      <c r="M61" s="79">
        <f ca="1">Cenarios!Q77</f>
        <v>0</v>
      </c>
      <c r="N61" s="79">
        <f ca="1">Cenarios!I93</f>
        <v>0</v>
      </c>
      <c r="AF61" s="109">
        <v>6</v>
      </c>
      <c r="AG61" s="109" t="str">
        <f>(IF(AF61&gt;controle_formulario!$I$16,"Ocultar",""))</f>
        <v>Ocultar</v>
      </c>
    </row>
    <row r="62" spans="3:33" ht="15" hidden="1" customHeight="1" x14ac:dyDescent="0.3">
      <c r="C62" s="11">
        <f t="shared" si="2"/>
        <v>2032</v>
      </c>
      <c r="D62" s="79">
        <f ca="1">Cenarios!I14</f>
        <v>0</v>
      </c>
      <c r="E62" s="79">
        <f ca="1">Cenarios!Q14</f>
        <v>0</v>
      </c>
      <c r="F62" s="79">
        <f ca="1">Cenarios!I30</f>
        <v>0</v>
      </c>
      <c r="G62" s="79">
        <f ca="1">Cenarios!Q30</f>
        <v>0</v>
      </c>
      <c r="H62" s="79">
        <f ca="1">Cenarios!I46</f>
        <v>0</v>
      </c>
      <c r="I62" s="79">
        <f ca="1">Cenarios!Q46</f>
        <v>0</v>
      </c>
      <c r="J62" s="79">
        <f ca="1">Cenarios!I62</f>
        <v>0</v>
      </c>
      <c r="K62" s="79">
        <f ca="1">Cenarios!Q62</f>
        <v>0</v>
      </c>
      <c r="L62" s="79">
        <f ca="1">Cenarios!I78</f>
        <v>0</v>
      </c>
      <c r="M62" s="79">
        <f ca="1">Cenarios!Q78</f>
        <v>0</v>
      </c>
      <c r="N62" s="79">
        <f ca="1">Cenarios!I94</f>
        <v>0</v>
      </c>
      <c r="AF62" s="109">
        <v>7</v>
      </c>
      <c r="AG62" s="109" t="str">
        <f>(IF(AF62&gt;controle_formulario!$I$16,"Ocultar",""))</f>
        <v>Ocultar</v>
      </c>
    </row>
    <row r="63" spans="3:33" ht="15" hidden="1" customHeight="1" x14ac:dyDescent="0.3">
      <c r="C63" s="11">
        <f t="shared" si="2"/>
        <v>2033</v>
      </c>
      <c r="D63" s="79">
        <f ca="1">Cenarios!I15</f>
        <v>0</v>
      </c>
      <c r="E63" s="79">
        <f ca="1">Cenarios!Q15</f>
        <v>0</v>
      </c>
      <c r="F63" s="79">
        <f ca="1">Cenarios!I31</f>
        <v>0</v>
      </c>
      <c r="G63" s="79">
        <f ca="1">Cenarios!Q31</f>
        <v>0</v>
      </c>
      <c r="H63" s="79">
        <f ca="1">Cenarios!I47</f>
        <v>0</v>
      </c>
      <c r="I63" s="79">
        <f ca="1">Cenarios!Q47</f>
        <v>0</v>
      </c>
      <c r="J63" s="79">
        <f ca="1">Cenarios!I63</f>
        <v>0</v>
      </c>
      <c r="K63" s="79">
        <f ca="1">Cenarios!Q63</f>
        <v>0</v>
      </c>
      <c r="L63" s="79">
        <f ca="1">Cenarios!I79</f>
        <v>0</v>
      </c>
      <c r="M63" s="79">
        <f ca="1">Cenarios!Q79</f>
        <v>0</v>
      </c>
      <c r="N63" s="79">
        <f ca="1">Cenarios!I95</f>
        <v>0</v>
      </c>
      <c r="AF63" s="109">
        <v>8</v>
      </c>
      <c r="AG63" s="109" t="str">
        <f>(IF(AF63&gt;controle_formulario!$I$16,"Ocultar",""))</f>
        <v>Ocultar</v>
      </c>
    </row>
    <row r="64" spans="3:33" ht="15" hidden="1" customHeight="1" x14ac:dyDescent="0.3">
      <c r="C64" s="11">
        <f t="shared" si="2"/>
        <v>2034</v>
      </c>
      <c r="D64" s="79">
        <f ca="1">Cenarios!I16</f>
        <v>0</v>
      </c>
      <c r="E64" s="79">
        <f ca="1">Cenarios!Q16</f>
        <v>0</v>
      </c>
      <c r="F64" s="79">
        <f ca="1">Cenarios!I32</f>
        <v>0</v>
      </c>
      <c r="G64" s="79">
        <f ca="1">Cenarios!Q32</f>
        <v>0</v>
      </c>
      <c r="H64" s="79">
        <f ca="1">Cenarios!I48</f>
        <v>0</v>
      </c>
      <c r="I64" s="79">
        <f ca="1">Cenarios!Q48</f>
        <v>0</v>
      </c>
      <c r="J64" s="79">
        <f ca="1">Cenarios!I64</f>
        <v>0</v>
      </c>
      <c r="K64" s="79">
        <f ca="1">Cenarios!Q64</f>
        <v>0</v>
      </c>
      <c r="L64" s="79">
        <f ca="1">Cenarios!I80</f>
        <v>0</v>
      </c>
      <c r="M64" s="79">
        <f ca="1">Cenarios!Q80</f>
        <v>0</v>
      </c>
      <c r="N64" s="79">
        <f ca="1">Cenarios!I96</f>
        <v>0</v>
      </c>
      <c r="AF64" s="109">
        <v>9</v>
      </c>
      <c r="AG64" s="109" t="str">
        <f>(IF(AF64&gt;controle_formulario!$I$16,"Ocultar",""))</f>
        <v>Ocultar</v>
      </c>
    </row>
    <row r="65" spans="3:33" ht="15" hidden="1" customHeight="1" x14ac:dyDescent="0.3">
      <c r="C65" s="11">
        <f t="shared" si="2"/>
        <v>2035</v>
      </c>
      <c r="D65" s="79">
        <f ca="1">Cenarios!I17</f>
        <v>0</v>
      </c>
      <c r="E65" s="79">
        <f ca="1">Cenarios!Q17</f>
        <v>0</v>
      </c>
      <c r="F65" s="79">
        <f ca="1">Cenarios!I33</f>
        <v>0</v>
      </c>
      <c r="G65" s="79">
        <f ca="1">Cenarios!Q33</f>
        <v>0</v>
      </c>
      <c r="H65" s="79">
        <f ca="1">Cenarios!I49</f>
        <v>0</v>
      </c>
      <c r="I65" s="79">
        <f ca="1">Cenarios!Q49</f>
        <v>0</v>
      </c>
      <c r="J65" s="79">
        <f ca="1">Cenarios!I65</f>
        <v>0</v>
      </c>
      <c r="K65" s="79">
        <f ca="1">Cenarios!Q65</f>
        <v>0</v>
      </c>
      <c r="L65" s="79">
        <f ca="1">Cenarios!I81</f>
        <v>0</v>
      </c>
      <c r="M65" s="79">
        <f ca="1">Cenarios!Q81</f>
        <v>0</v>
      </c>
      <c r="N65" s="79">
        <f ca="1">Cenarios!I97</f>
        <v>0</v>
      </c>
      <c r="AF65" s="109">
        <v>10</v>
      </c>
      <c r="AG65" s="109" t="str">
        <f>(IF(AF65&gt;controle_formulario!$I$16,"Ocultar",""))</f>
        <v>Ocultar</v>
      </c>
    </row>
    <row r="66" spans="3:33" ht="15" customHeight="1" x14ac:dyDescent="0.3">
      <c r="C66" s="80" t="s">
        <v>29</v>
      </c>
      <c r="D66" s="82">
        <f t="shared" ref="D66:N66" ca="1" si="3">SUM(D56:D65)</f>
        <v>20685808.454021443</v>
      </c>
      <c r="E66" s="82">
        <f ca="1">SUM(E56:E65)</f>
        <v>72616670.929004639</v>
      </c>
      <c r="F66" s="82">
        <f t="shared" ca="1" si="3"/>
        <v>77566749.28698203</v>
      </c>
      <c r="G66" s="82">
        <f t="shared" ca="1" si="3"/>
        <v>0</v>
      </c>
      <c r="H66" s="82">
        <f t="shared" ca="1" si="3"/>
        <v>0</v>
      </c>
      <c r="I66" s="82">
        <f t="shared" ca="1" si="3"/>
        <v>0</v>
      </c>
      <c r="J66" s="82">
        <f t="shared" ca="1" si="3"/>
        <v>0</v>
      </c>
      <c r="K66" s="82">
        <f t="shared" ca="1" si="3"/>
        <v>0</v>
      </c>
      <c r="L66" s="82">
        <f t="shared" ca="1" si="3"/>
        <v>0</v>
      </c>
      <c r="M66" s="82">
        <f t="shared" ca="1" si="3"/>
        <v>0</v>
      </c>
      <c r="N66" s="82">
        <f t="shared" ca="1" si="3"/>
        <v>0</v>
      </c>
      <c r="AF66" s="109"/>
      <c r="AG66" s="109"/>
    </row>
    <row r="67" spans="3:33" x14ac:dyDescent="0.3">
      <c r="C67" s="80" t="s">
        <v>123</v>
      </c>
      <c r="D67" s="82">
        <f ca="1">SUM(D56:D65)/(IF(ABS(D56)&gt;0,1)+IF(ABS(D57)&gt;0,1)+IF(ABS(D58)&gt;0,1)+IF(ABS(D59)&gt;0,1)+IF(ABS(D60)&gt;0,1)+IF(ABS(D61)&gt;0,1)+IF(ABS(D62)&gt;0,1)+IF(ABS(D63)&gt;0,1)+IF(ABS(D64)&gt;0,1)+IF(ABS(D65)&gt;0,1))</f>
        <v>4137161.6908042887</v>
      </c>
      <c r="E67" s="82">
        <f t="shared" ref="E67:N67" ca="1" si="4">SUM(E56:E65)/(IF(ABS(E56)&gt;0,1)+IF(ABS(E57)&gt;0,1)+IF(ABS(E58)&gt;0,1)+IF(ABS(E59)&gt;0,1)+IF(ABS(E60)&gt;0,1)+IF(ABS(E61)&gt;0,1)+IF(ABS(E62)&gt;0,1)+IF(ABS(E63)&gt;0,1)+IF(ABS(E64)&gt;0,1)+IF(ABS(E65)&gt;0,1))</f>
        <v>14523334.185800929</v>
      </c>
      <c r="F67" s="82">
        <f t="shared" ca="1" si="4"/>
        <v>15513349.857396405</v>
      </c>
      <c r="G67" s="82" t="e">
        <f t="shared" ca="1" si="4"/>
        <v>#DIV/0!</v>
      </c>
      <c r="H67" s="82" t="e">
        <f t="shared" ca="1" si="4"/>
        <v>#DIV/0!</v>
      </c>
      <c r="I67" s="82" t="e">
        <f t="shared" ca="1" si="4"/>
        <v>#DIV/0!</v>
      </c>
      <c r="J67" s="82" t="e">
        <f t="shared" ca="1" si="4"/>
        <v>#DIV/0!</v>
      </c>
      <c r="K67" s="82" t="e">
        <f t="shared" ca="1" si="4"/>
        <v>#DIV/0!</v>
      </c>
      <c r="L67" s="82" t="e">
        <f t="shared" ca="1" si="4"/>
        <v>#DIV/0!</v>
      </c>
      <c r="M67" s="82" t="e">
        <f t="shared" ca="1" si="4"/>
        <v>#DIV/0!</v>
      </c>
      <c r="N67" s="82" t="e">
        <f t="shared" ca="1" si="4"/>
        <v>#DIV/0!</v>
      </c>
    </row>
    <row r="69" spans="3:33" x14ac:dyDescent="0.3">
      <c r="C69" s="11"/>
      <c r="D69" s="84"/>
      <c r="E69" s="84"/>
      <c r="F69" s="84"/>
      <c r="G69" s="84"/>
      <c r="I69" s="84"/>
      <c r="J69" s="84"/>
      <c r="K69" s="84"/>
    </row>
    <row r="70" spans="3:33" x14ac:dyDescent="0.3">
      <c r="D70" s="103" t="s">
        <v>52</v>
      </c>
      <c r="E70" s="103"/>
      <c r="F70" s="103"/>
      <c r="G70" s="103"/>
      <c r="H70" s="103"/>
      <c r="I70" s="103"/>
      <c r="J70" s="103"/>
      <c r="K70" s="103"/>
      <c r="L70" s="103"/>
      <c r="M70" s="103"/>
      <c r="N70" s="103"/>
    </row>
    <row r="71" spans="3:33" ht="43.2" x14ac:dyDescent="0.3">
      <c r="D71" s="53" t="s">
        <v>53</v>
      </c>
      <c r="E71" s="102" t="str">
        <f t="shared" ref="E71:N71" si="5">$D55 &amp;" vs "&amp; E55</f>
        <v>Sem pirtobrutinibe vs Incorporação progressiva- pirtobrutinibe</v>
      </c>
      <c r="F71" s="102" t="str">
        <f t="shared" si="5"/>
        <v>Sem pirtobrutinibe vs 0</v>
      </c>
      <c r="G71" s="102" t="str">
        <f t="shared" si="5"/>
        <v>Sem pirtobrutinibe vs Taxa de difusão em X anos: XX%</v>
      </c>
      <c r="H71" s="102" t="str">
        <f t="shared" si="5"/>
        <v>Sem pirtobrutinibe vs Taxa de difusão em X anos: XX%</v>
      </c>
      <c r="I71" s="102" t="str">
        <f t="shared" si="5"/>
        <v>Sem pirtobrutinibe vs Taxa de difusão em X anos: XX%</v>
      </c>
      <c r="J71" s="102" t="str">
        <f t="shared" si="5"/>
        <v>Sem pirtobrutinibe vs Taxa de difusão em X anos: XX%</v>
      </c>
      <c r="K71" s="102" t="str">
        <f t="shared" si="5"/>
        <v>Sem pirtobrutinibe vs Taxa de difusão em X anos: XX%</v>
      </c>
      <c r="L71" s="102" t="str">
        <f t="shared" si="5"/>
        <v>Sem pirtobrutinibe vs Taxa de difusão em X anos: XX%</v>
      </c>
      <c r="M71" s="102" t="str">
        <f t="shared" si="5"/>
        <v>Sem pirtobrutinibe vs Taxa de difusão em X anos: XX%</v>
      </c>
      <c r="N71" s="102" t="str">
        <f t="shared" si="5"/>
        <v>Sem pirtobrutinibe vs Taxa de difusão em X anos: XX%</v>
      </c>
    </row>
    <row r="72" spans="3:33" ht="17.25" customHeight="1" x14ac:dyDescent="0.3">
      <c r="D72" s="11">
        <f>Criterios!$C$31</f>
        <v>2026</v>
      </c>
      <c r="E72" s="79">
        <f t="shared" ref="E72:N72" ca="1" si="6">E56-$D56</f>
        <v>9083180.5994041599</v>
      </c>
      <c r="F72" s="79">
        <f ca="1">F56-$D56</f>
        <v>10315531.090770964</v>
      </c>
      <c r="G72" s="79">
        <f t="shared" ca="1" si="6"/>
        <v>-4110544.4385289042</v>
      </c>
      <c r="H72" s="79">
        <f t="shared" ca="1" si="6"/>
        <v>-4110544.4385289042</v>
      </c>
      <c r="I72" s="79">
        <f t="shared" ca="1" si="6"/>
        <v>-4110544.4385289042</v>
      </c>
      <c r="J72" s="79">
        <f t="shared" ca="1" si="6"/>
        <v>-4110544.4385289042</v>
      </c>
      <c r="K72" s="79">
        <f t="shared" ca="1" si="6"/>
        <v>-4110544.4385289042</v>
      </c>
      <c r="L72" s="79">
        <f t="shared" ca="1" si="6"/>
        <v>-4110544.4385289042</v>
      </c>
      <c r="M72" s="79">
        <f t="shared" ca="1" si="6"/>
        <v>-4110544.4385289042</v>
      </c>
      <c r="N72" s="79">
        <f t="shared" ca="1" si="6"/>
        <v>-4110544.4385289042</v>
      </c>
    </row>
    <row r="73" spans="3:33" x14ac:dyDescent="0.3">
      <c r="D73" s="11">
        <f>D72+1</f>
        <v>2027</v>
      </c>
      <c r="E73" s="79">
        <f t="shared" ref="E73:N73" ca="1" si="7">E57-$D57</f>
        <v>9733151.3124237154</v>
      </c>
      <c r="F73" s="79">
        <f t="shared" ca="1" si="7"/>
        <v>11588117.86803592</v>
      </c>
      <c r="G73" s="79">
        <f t="shared" ca="1" si="7"/>
        <v>-4124866.8092641174</v>
      </c>
      <c r="H73" s="79">
        <f t="shared" ca="1" si="7"/>
        <v>-4124866.8092641174</v>
      </c>
      <c r="I73" s="79">
        <f t="shared" ca="1" si="7"/>
        <v>-4124866.8092641174</v>
      </c>
      <c r="J73" s="79">
        <f t="shared" ca="1" si="7"/>
        <v>-4124866.8092641174</v>
      </c>
      <c r="K73" s="79">
        <f t="shared" ca="1" si="7"/>
        <v>-4124866.8092641174</v>
      </c>
      <c r="L73" s="79">
        <f t="shared" ca="1" si="7"/>
        <v>-4124866.8092641174</v>
      </c>
      <c r="M73" s="79">
        <f t="shared" ca="1" si="7"/>
        <v>-4124866.8092641174</v>
      </c>
      <c r="N73" s="79">
        <f t="shared" ca="1" si="7"/>
        <v>-4124866.8092641174</v>
      </c>
      <c r="AF73" s="109">
        <v>2</v>
      </c>
      <c r="AG73" s="109" t="str">
        <f>(IF(AF73&gt;controle_formulario!$I$16,"Ocultar",""))</f>
        <v/>
      </c>
    </row>
    <row r="74" spans="3:33" x14ac:dyDescent="0.3">
      <c r="D74" s="11">
        <f t="shared" ref="D74:D81" si="8">D73+1</f>
        <v>2028</v>
      </c>
      <c r="E74" s="79">
        <f t="shared" ref="E74:N74" ca="1" si="9">E58-$D58</f>
        <v>10384696.164967388</v>
      </c>
      <c r="F74" s="79">
        <f t="shared" ca="1" si="9"/>
        <v>11625309.499266984</v>
      </c>
      <c r="G74" s="79">
        <f t="shared" ca="1" si="9"/>
        <v>-4138105.4151356164</v>
      </c>
      <c r="H74" s="79">
        <f t="shared" ca="1" si="9"/>
        <v>-4138105.4151356164</v>
      </c>
      <c r="I74" s="79">
        <f t="shared" ca="1" si="9"/>
        <v>-4138105.4151356164</v>
      </c>
      <c r="J74" s="79">
        <f t="shared" ca="1" si="9"/>
        <v>-4138105.4151356164</v>
      </c>
      <c r="K74" s="79">
        <f t="shared" ca="1" si="9"/>
        <v>-4138105.4151356164</v>
      </c>
      <c r="L74" s="79">
        <f t="shared" ca="1" si="9"/>
        <v>-4138105.4151356164</v>
      </c>
      <c r="M74" s="79">
        <f t="shared" ca="1" si="9"/>
        <v>-4138105.4151356164</v>
      </c>
      <c r="N74" s="79">
        <f t="shared" ca="1" si="9"/>
        <v>-4138105.4151356164</v>
      </c>
      <c r="AF74" s="109">
        <v>3</v>
      </c>
      <c r="AG74" s="109" t="str">
        <f>(IF(AF74&gt;controle_formulario!$I$16,"Ocultar",""))</f>
        <v/>
      </c>
    </row>
    <row r="75" spans="3:33" x14ac:dyDescent="0.3">
      <c r="D75" s="11">
        <f t="shared" si="8"/>
        <v>2029</v>
      </c>
      <c r="E75" s="79">
        <f t="shared" ref="E75:N75" ca="1" si="10">E59-$D59</f>
        <v>11037669.927079175</v>
      </c>
      <c r="F75" s="79">
        <f t="shared" ca="1" si="10"/>
        <v>11659817.903777955</v>
      </c>
      <c r="G75" s="79">
        <f t="shared" ca="1" si="10"/>
        <v>-4150388.9087994657</v>
      </c>
      <c r="H75" s="79">
        <f t="shared" ca="1" si="10"/>
        <v>-4150388.9087994657</v>
      </c>
      <c r="I75" s="79">
        <f t="shared" ca="1" si="10"/>
        <v>-4150388.9087994657</v>
      </c>
      <c r="J75" s="79">
        <f t="shared" ca="1" si="10"/>
        <v>-4150388.9087994657</v>
      </c>
      <c r="K75" s="79">
        <f t="shared" ca="1" si="10"/>
        <v>-4150388.9087994657</v>
      </c>
      <c r="L75" s="79">
        <f t="shared" ca="1" si="10"/>
        <v>-4150388.9087994657</v>
      </c>
      <c r="M75" s="79">
        <f t="shared" ca="1" si="10"/>
        <v>-4150388.9087994657</v>
      </c>
      <c r="N75" s="79">
        <f t="shared" ca="1" si="10"/>
        <v>-4150388.9087994657</v>
      </c>
      <c r="AF75" s="109">
        <v>4</v>
      </c>
      <c r="AG75" s="109" t="str">
        <f>(IF(AF75&gt;controle_formulario!$I$16,"Ocultar",""))</f>
        <v/>
      </c>
    </row>
    <row r="76" spans="3:33" x14ac:dyDescent="0.3">
      <c r="D76" s="11">
        <f t="shared" si="8"/>
        <v>2030</v>
      </c>
      <c r="E76" s="79">
        <f t="shared" ref="E76:N76" ca="1" si="11">E60-$D60</f>
        <v>11692164.471108755</v>
      </c>
      <c r="F76" s="79">
        <f t="shared" ca="1" si="11"/>
        <v>11692164.471108755</v>
      </c>
      <c r="G76" s="79">
        <f t="shared" ca="1" si="11"/>
        <v>-4161902.8822933384</v>
      </c>
      <c r="H76" s="79">
        <f t="shared" ca="1" si="11"/>
        <v>-4161902.8822933384</v>
      </c>
      <c r="I76" s="79">
        <f t="shared" ca="1" si="11"/>
        <v>-4161902.8822933384</v>
      </c>
      <c r="J76" s="79">
        <f t="shared" ca="1" si="11"/>
        <v>-4161902.8822933384</v>
      </c>
      <c r="K76" s="79">
        <f t="shared" ca="1" si="11"/>
        <v>-4161902.8822933384</v>
      </c>
      <c r="L76" s="79">
        <f t="shared" ca="1" si="11"/>
        <v>-4161902.8822933384</v>
      </c>
      <c r="M76" s="79">
        <f t="shared" ca="1" si="11"/>
        <v>-4161902.8822933384</v>
      </c>
      <c r="N76" s="79">
        <f t="shared" ca="1" si="11"/>
        <v>-4161902.8822933384</v>
      </c>
      <c r="AF76" s="109">
        <v>5</v>
      </c>
      <c r="AG76" s="109" t="str">
        <f>(IF(AF76&gt;controle_formulario!$I$16,"Ocultar",""))</f>
        <v/>
      </c>
    </row>
    <row r="77" spans="3:33" hidden="1" x14ac:dyDescent="0.3">
      <c r="D77" s="11">
        <f t="shared" si="8"/>
        <v>2031</v>
      </c>
      <c r="E77" s="79">
        <f t="shared" ref="E77:N77" ca="1" si="12">E61-$D61</f>
        <v>0</v>
      </c>
      <c r="F77" s="79">
        <f t="shared" ca="1" si="12"/>
        <v>0</v>
      </c>
      <c r="G77" s="79">
        <f t="shared" ca="1" si="12"/>
        <v>0</v>
      </c>
      <c r="H77" s="79">
        <f t="shared" ca="1" si="12"/>
        <v>0</v>
      </c>
      <c r="I77" s="79">
        <f t="shared" ca="1" si="12"/>
        <v>0</v>
      </c>
      <c r="J77" s="79">
        <f t="shared" ca="1" si="12"/>
        <v>0</v>
      </c>
      <c r="K77" s="79">
        <f t="shared" ca="1" si="12"/>
        <v>0</v>
      </c>
      <c r="L77" s="79">
        <f t="shared" ca="1" si="12"/>
        <v>0</v>
      </c>
      <c r="M77" s="79">
        <f t="shared" ca="1" si="12"/>
        <v>0</v>
      </c>
      <c r="N77" s="79">
        <f t="shared" ca="1" si="12"/>
        <v>0</v>
      </c>
      <c r="AF77" s="109">
        <v>6</v>
      </c>
      <c r="AG77" s="109" t="str">
        <f>(IF(AF77&gt;controle_formulario!$I$16,"Ocultar",""))</f>
        <v>Ocultar</v>
      </c>
    </row>
    <row r="78" spans="3:33" hidden="1" x14ac:dyDescent="0.3">
      <c r="D78" s="11">
        <f t="shared" si="8"/>
        <v>2032</v>
      </c>
      <c r="E78" s="79">
        <f t="shared" ref="E78:N78" ca="1" si="13">E62-$D62</f>
        <v>0</v>
      </c>
      <c r="F78" s="79">
        <f t="shared" ca="1" si="13"/>
        <v>0</v>
      </c>
      <c r="G78" s="79">
        <f t="shared" ca="1" si="13"/>
        <v>0</v>
      </c>
      <c r="H78" s="79">
        <f t="shared" ca="1" si="13"/>
        <v>0</v>
      </c>
      <c r="I78" s="79">
        <f t="shared" ca="1" si="13"/>
        <v>0</v>
      </c>
      <c r="J78" s="79">
        <f t="shared" ca="1" si="13"/>
        <v>0</v>
      </c>
      <c r="K78" s="79">
        <f t="shared" ca="1" si="13"/>
        <v>0</v>
      </c>
      <c r="L78" s="79">
        <f t="shared" ca="1" si="13"/>
        <v>0</v>
      </c>
      <c r="M78" s="79">
        <f t="shared" ca="1" si="13"/>
        <v>0</v>
      </c>
      <c r="N78" s="79">
        <f t="shared" ca="1" si="13"/>
        <v>0</v>
      </c>
      <c r="AF78" s="109">
        <v>7</v>
      </c>
      <c r="AG78" s="109" t="str">
        <f>(IF(AF78&gt;controle_formulario!$I$16,"Ocultar",""))</f>
        <v>Ocultar</v>
      </c>
    </row>
    <row r="79" spans="3:33" hidden="1" x14ac:dyDescent="0.3">
      <c r="D79" s="11">
        <f t="shared" si="8"/>
        <v>2033</v>
      </c>
      <c r="E79" s="79">
        <f t="shared" ref="E79:N79" ca="1" si="14">E63-$D63</f>
        <v>0</v>
      </c>
      <c r="F79" s="79">
        <f t="shared" ca="1" si="14"/>
        <v>0</v>
      </c>
      <c r="G79" s="79">
        <f t="shared" ca="1" si="14"/>
        <v>0</v>
      </c>
      <c r="H79" s="79">
        <f t="shared" ca="1" si="14"/>
        <v>0</v>
      </c>
      <c r="I79" s="79">
        <f t="shared" ca="1" si="14"/>
        <v>0</v>
      </c>
      <c r="J79" s="79">
        <f t="shared" ca="1" si="14"/>
        <v>0</v>
      </c>
      <c r="K79" s="79">
        <f t="shared" ca="1" si="14"/>
        <v>0</v>
      </c>
      <c r="L79" s="79">
        <f t="shared" ca="1" si="14"/>
        <v>0</v>
      </c>
      <c r="M79" s="79">
        <f t="shared" ca="1" si="14"/>
        <v>0</v>
      </c>
      <c r="N79" s="79">
        <f t="shared" ca="1" si="14"/>
        <v>0</v>
      </c>
      <c r="AF79" s="109">
        <v>8</v>
      </c>
      <c r="AG79" s="109" t="str">
        <f>(IF(AF79&gt;controle_formulario!$I$16,"Ocultar",""))</f>
        <v>Ocultar</v>
      </c>
    </row>
    <row r="80" spans="3:33" hidden="1" x14ac:dyDescent="0.3">
      <c r="D80" s="11">
        <f t="shared" si="8"/>
        <v>2034</v>
      </c>
      <c r="E80" s="79">
        <f t="shared" ref="E80:N80" ca="1" si="15">E64-$D64</f>
        <v>0</v>
      </c>
      <c r="F80" s="79">
        <f t="shared" ca="1" si="15"/>
        <v>0</v>
      </c>
      <c r="G80" s="79">
        <f t="shared" ca="1" si="15"/>
        <v>0</v>
      </c>
      <c r="H80" s="79">
        <f t="shared" ca="1" si="15"/>
        <v>0</v>
      </c>
      <c r="I80" s="79">
        <f t="shared" ca="1" si="15"/>
        <v>0</v>
      </c>
      <c r="J80" s="79">
        <f t="shared" ca="1" si="15"/>
        <v>0</v>
      </c>
      <c r="K80" s="79">
        <f t="shared" ca="1" si="15"/>
        <v>0</v>
      </c>
      <c r="L80" s="79">
        <f t="shared" ca="1" si="15"/>
        <v>0</v>
      </c>
      <c r="M80" s="79">
        <f t="shared" ca="1" si="15"/>
        <v>0</v>
      </c>
      <c r="N80" s="79">
        <f t="shared" ca="1" si="15"/>
        <v>0</v>
      </c>
      <c r="AF80" s="109">
        <v>9</v>
      </c>
      <c r="AG80" s="109" t="str">
        <f>(IF(AF80&gt;controle_formulario!$I$16,"Ocultar",""))</f>
        <v>Ocultar</v>
      </c>
    </row>
    <row r="81" spans="3:33" hidden="1" x14ac:dyDescent="0.3">
      <c r="D81" s="11">
        <f t="shared" si="8"/>
        <v>2035</v>
      </c>
      <c r="E81" s="79">
        <f t="shared" ref="E81:N81" ca="1" si="16">E65-$D65</f>
        <v>0</v>
      </c>
      <c r="F81" s="79">
        <f t="shared" ca="1" si="16"/>
        <v>0</v>
      </c>
      <c r="G81" s="79">
        <f t="shared" ca="1" si="16"/>
        <v>0</v>
      </c>
      <c r="H81" s="79">
        <f t="shared" ca="1" si="16"/>
        <v>0</v>
      </c>
      <c r="I81" s="79">
        <f t="shared" ca="1" si="16"/>
        <v>0</v>
      </c>
      <c r="J81" s="79">
        <f t="shared" ca="1" si="16"/>
        <v>0</v>
      </c>
      <c r="K81" s="79">
        <f t="shared" ca="1" si="16"/>
        <v>0</v>
      </c>
      <c r="L81" s="79">
        <f t="shared" ca="1" si="16"/>
        <v>0</v>
      </c>
      <c r="M81" s="79">
        <f t="shared" ca="1" si="16"/>
        <v>0</v>
      </c>
      <c r="N81" s="79">
        <f t="shared" ca="1" si="16"/>
        <v>0</v>
      </c>
      <c r="AF81" s="109">
        <v>10</v>
      </c>
      <c r="AG81" s="109" t="str">
        <f>(IF(AF81&gt;controle_formulario!$I$16,"Ocultar",""))</f>
        <v>Ocultar</v>
      </c>
    </row>
    <row r="82" spans="3:33" x14ac:dyDescent="0.3">
      <c r="D82" s="80" t="s">
        <v>29</v>
      </c>
      <c r="E82" s="82">
        <f t="shared" ref="E82:N82" ca="1" si="17">SUM(E72:E81)</f>
        <v>51930862.474983193</v>
      </c>
      <c r="F82" s="82">
        <f t="shared" ca="1" si="17"/>
        <v>56880940.832960583</v>
      </c>
      <c r="G82" s="82">
        <f t="shared" ca="1" si="17"/>
        <v>-20685808.454021443</v>
      </c>
      <c r="H82" s="82">
        <f t="shared" ca="1" si="17"/>
        <v>-20685808.454021443</v>
      </c>
      <c r="I82" s="82">
        <f t="shared" ca="1" si="17"/>
        <v>-20685808.454021443</v>
      </c>
      <c r="J82" s="82">
        <f t="shared" ca="1" si="17"/>
        <v>-20685808.454021443</v>
      </c>
      <c r="K82" s="82">
        <f t="shared" ca="1" si="17"/>
        <v>-20685808.454021443</v>
      </c>
      <c r="L82" s="82">
        <f t="shared" ca="1" si="17"/>
        <v>-20685808.454021443</v>
      </c>
      <c r="M82" s="82">
        <f t="shared" ca="1" si="17"/>
        <v>-20685808.454021443</v>
      </c>
      <c r="N82" s="82">
        <f t="shared" ca="1" si="17"/>
        <v>-20685808.454021443</v>
      </c>
      <c r="AF82" s="109"/>
      <c r="AG82" s="109"/>
    </row>
    <row r="83" spans="3:33" x14ac:dyDescent="0.3">
      <c r="C83" s="11"/>
      <c r="D83" s="80" t="s">
        <v>123</v>
      </c>
      <c r="E83" s="82">
        <f ca="1">SUM(E72:E81)/(IF(ABS(E72)&gt;0,1)+IF(ABS(E73)&gt;0,1)+IF(ABS(E74)&gt;0,1)+IF(ABS(E75)&gt;0,1)+IF(ABS(E76)&gt;0,1)+IF(ABS(E77)&gt;0,1)+IF(ABS(E78)&gt;0,1)+IF(ABS(E79)&gt;0,1)+IF(ABS(E80)&gt;0,1)+IF(ABS(E81)&gt;0,1))</f>
        <v>10386172.494996639</v>
      </c>
      <c r="F83" s="82">
        <f t="shared" ref="F83:N83" ca="1" si="18">SUM(F72:F81)/(IF(ABS(F72)&gt;0,1)+IF(ABS(F73)&gt;0,1)+IF(ABS(F74)&gt;0,1)+IF(ABS(F75)&gt;0,1)+IF(ABS(F76)&gt;0,1)+IF(ABS(F77)&gt;0,1)+IF(ABS(F78)&gt;0,1)+IF(ABS(F79)&gt;0,1)+IF(ABS(F80)&gt;0,1)+IF(ABS(F81)&gt;0,1))</f>
        <v>11376188.166592117</v>
      </c>
      <c r="G83" s="82">
        <f t="shared" ca="1" si="18"/>
        <v>-4137161.6908042887</v>
      </c>
      <c r="H83" s="82">
        <f t="shared" ca="1" si="18"/>
        <v>-4137161.6908042887</v>
      </c>
      <c r="I83" s="82">
        <f t="shared" ca="1" si="18"/>
        <v>-4137161.6908042887</v>
      </c>
      <c r="J83" s="82">
        <f t="shared" ca="1" si="18"/>
        <v>-4137161.6908042887</v>
      </c>
      <c r="K83" s="82">
        <f t="shared" ca="1" si="18"/>
        <v>-4137161.6908042887</v>
      </c>
      <c r="L83" s="82">
        <f t="shared" ca="1" si="18"/>
        <v>-4137161.6908042887</v>
      </c>
      <c r="M83" s="82">
        <f t="shared" ca="1" si="18"/>
        <v>-4137161.6908042887</v>
      </c>
      <c r="N83" s="82">
        <f t="shared" ca="1" si="18"/>
        <v>-4137161.6908042887</v>
      </c>
    </row>
    <row r="84" spans="3:33" x14ac:dyDescent="0.3">
      <c r="C84" s="11"/>
    </row>
    <row r="85" spans="3:33" x14ac:dyDescent="0.3">
      <c r="C85" s="11"/>
      <c r="D85" s="84"/>
      <c r="E85" s="84"/>
      <c r="F85" s="84"/>
      <c r="G85" s="84"/>
      <c r="I85" s="84"/>
      <c r="J85" s="84"/>
      <c r="K85" s="84"/>
    </row>
    <row r="86" spans="3:33" x14ac:dyDescent="0.3">
      <c r="C86" s="11"/>
      <c r="D86" s="84"/>
      <c r="E86" s="84"/>
      <c r="F86" s="84"/>
      <c r="G86" s="84"/>
      <c r="I86" s="84"/>
      <c r="J86" s="84"/>
      <c r="K86" s="84"/>
    </row>
    <row r="87" spans="3:33" x14ac:dyDescent="0.3">
      <c r="C87" s="11"/>
      <c r="D87" s="84"/>
      <c r="E87" s="84"/>
      <c r="F87" s="84"/>
      <c r="G87" s="84"/>
      <c r="I87" s="84"/>
      <c r="J87" s="84"/>
      <c r="K87" s="84"/>
    </row>
    <row r="88" spans="3:33" x14ac:dyDescent="0.3">
      <c r="C88" s="11"/>
      <c r="D88" s="84"/>
      <c r="E88" s="84"/>
      <c r="F88" s="84"/>
      <c r="G88" s="84"/>
      <c r="I88" s="84"/>
      <c r="J88" s="84"/>
      <c r="K88" s="84"/>
    </row>
    <row r="89" spans="3:33" x14ac:dyDescent="0.3">
      <c r="C89" s="11"/>
      <c r="D89" s="84"/>
      <c r="E89" s="84"/>
      <c r="F89" s="84"/>
      <c r="G89" s="84"/>
      <c r="I89" s="84"/>
      <c r="J89" s="84"/>
      <c r="K89" s="84"/>
    </row>
    <row r="90" spans="3:33" x14ac:dyDescent="0.3">
      <c r="C90" s="11"/>
      <c r="D90" s="84"/>
      <c r="E90" s="84"/>
      <c r="F90" s="84"/>
      <c r="G90" s="84"/>
      <c r="I90" s="84"/>
      <c r="J90" s="84"/>
      <c r="K90" s="84"/>
    </row>
    <row r="91" spans="3:33" x14ac:dyDescent="0.3">
      <c r="C91" s="11"/>
      <c r="D91" s="84"/>
      <c r="E91" s="84"/>
      <c r="F91" s="84"/>
      <c r="G91" s="84"/>
      <c r="I91" s="84"/>
      <c r="J91" s="84"/>
      <c r="K91" s="84"/>
    </row>
    <row r="92" spans="3:33" x14ac:dyDescent="0.3">
      <c r="C92" s="11"/>
      <c r="D92" s="84"/>
      <c r="E92" s="84"/>
      <c r="F92" s="84"/>
      <c r="G92" s="84"/>
      <c r="I92" s="84"/>
      <c r="J92" s="84"/>
      <c r="K92" s="84"/>
    </row>
    <row r="93" spans="3:33" x14ac:dyDescent="0.3">
      <c r="C93" s="11"/>
      <c r="D93" s="84"/>
      <c r="E93" s="84"/>
      <c r="F93" s="84"/>
      <c r="G93" s="84"/>
      <c r="I93" s="84"/>
      <c r="J93" s="84"/>
      <c r="K93" s="84"/>
    </row>
    <row r="94" spans="3:33" x14ac:dyDescent="0.3">
      <c r="C94" s="11"/>
      <c r="D94" s="84"/>
      <c r="E94" s="84"/>
      <c r="F94" s="84"/>
      <c r="G94" s="84"/>
      <c r="I94" s="84"/>
      <c r="J94" s="84"/>
      <c r="K94" s="84"/>
    </row>
    <row r="95" spans="3:33" x14ac:dyDescent="0.3">
      <c r="C95" s="11"/>
      <c r="D95" s="84"/>
      <c r="E95" s="84"/>
      <c r="F95" s="84"/>
      <c r="G95" s="84"/>
      <c r="I95" s="84"/>
      <c r="J95" s="84"/>
      <c r="K95" s="84"/>
    </row>
    <row r="96" spans="3:33" x14ac:dyDescent="0.3">
      <c r="C96" s="11"/>
      <c r="D96" s="84"/>
      <c r="E96" s="84"/>
      <c r="F96" s="84"/>
      <c r="G96" s="84"/>
      <c r="I96" s="84"/>
      <c r="J96" s="84"/>
      <c r="K96" s="84"/>
    </row>
    <row r="97" spans="3:21" x14ac:dyDescent="0.3">
      <c r="C97" s="11"/>
      <c r="D97" s="84"/>
      <c r="F97" s="84"/>
      <c r="G97" s="84"/>
      <c r="I97" s="84"/>
      <c r="J97" s="84"/>
      <c r="K97" s="84"/>
    </row>
    <row r="98" spans="3:21" x14ac:dyDescent="0.3">
      <c r="C98" s="11"/>
      <c r="D98" s="84"/>
      <c r="E98" s="84"/>
      <c r="F98" s="84"/>
      <c r="G98" s="84"/>
      <c r="I98" s="84"/>
      <c r="J98" s="84"/>
      <c r="K98" s="84"/>
    </row>
    <row r="99" spans="3:21" x14ac:dyDescent="0.3">
      <c r="C99" s="11"/>
      <c r="D99" s="84"/>
      <c r="E99" s="84"/>
      <c r="F99" s="84"/>
      <c r="G99" s="84"/>
      <c r="I99" s="84"/>
      <c r="J99" s="84"/>
      <c r="K99" s="84"/>
    </row>
    <row r="112" spans="3:21" x14ac:dyDescent="0.3">
      <c r="U112" s="11"/>
    </row>
    <row r="113" spans="21:21" x14ac:dyDescent="0.3">
      <c r="U113" s="83"/>
    </row>
    <row r="114" spans="21:21" ht="15" customHeight="1" x14ac:dyDescent="0.3">
      <c r="U114" s="79"/>
    </row>
    <row r="115" spans="21:21" ht="15" customHeight="1" x14ac:dyDescent="0.3">
      <c r="U115" s="79"/>
    </row>
    <row r="116" spans="21:21" x14ac:dyDescent="0.3">
      <c r="U116" s="79"/>
    </row>
    <row r="117" spans="21:21" x14ac:dyDescent="0.3">
      <c r="U117" s="79"/>
    </row>
    <row r="118" spans="21:21" x14ac:dyDescent="0.3">
      <c r="U118" s="79"/>
    </row>
    <row r="119" spans="21:21" x14ac:dyDescent="0.3">
      <c r="U119" s="79"/>
    </row>
    <row r="120" spans="21:21" x14ac:dyDescent="0.3">
      <c r="U120" s="79"/>
    </row>
    <row r="121" spans="21:21" x14ac:dyDescent="0.3">
      <c r="U121" s="79"/>
    </row>
    <row r="122" spans="21:21" x14ac:dyDescent="0.3">
      <c r="U122" s="79"/>
    </row>
    <row r="123" spans="21:21" x14ac:dyDescent="0.3">
      <c r="U123" s="79"/>
    </row>
    <row r="124" spans="21:21" x14ac:dyDescent="0.3">
      <c r="U124" s="84"/>
    </row>
    <row r="199" spans="6:14" x14ac:dyDescent="0.3">
      <c r="F199">
        <v>2</v>
      </c>
      <c r="G199">
        <v>3</v>
      </c>
      <c r="H199">
        <v>4</v>
      </c>
      <c r="I199">
        <v>5</v>
      </c>
      <c r="J199">
        <v>6</v>
      </c>
      <c r="K199">
        <v>7</v>
      </c>
      <c r="L199">
        <v>8</v>
      </c>
      <c r="M199">
        <v>9</v>
      </c>
      <c r="N199">
        <v>10</v>
      </c>
    </row>
    <row r="200" spans="6:14" x14ac:dyDescent="0.3">
      <c r="F200" t="str">
        <f>IF(F199&gt;controle_formulario!$E$16,"Ocultar","")</f>
        <v>Ocultar</v>
      </c>
      <c r="G200" t="str">
        <f>IF(G199&gt;controle_formulario!$E$16,"Ocultar","")</f>
        <v>Ocultar</v>
      </c>
      <c r="H200" t="str">
        <f>IF(H199&gt;controle_formulario!$E$16,"Ocultar","")</f>
        <v>Ocultar</v>
      </c>
      <c r="I200" t="str">
        <f>IF(I199&gt;controle_formulario!$E$16,"Ocultar","")</f>
        <v>Ocultar</v>
      </c>
      <c r="J200" t="str">
        <f>IF(J199&gt;controle_formulario!$E$16,"Ocultar","")</f>
        <v>Ocultar</v>
      </c>
      <c r="K200" t="str">
        <f>IF(K199&gt;controle_formulario!$E$16,"Ocultar","")</f>
        <v>Ocultar</v>
      </c>
      <c r="L200" t="str">
        <f>IF(L199&gt;controle_formulario!$E$16,"Ocultar","")</f>
        <v>Ocultar</v>
      </c>
      <c r="M200" t="str">
        <f>IF(M199&gt;controle_formulario!$E$16,"Ocultar","")</f>
        <v>Ocultar</v>
      </c>
      <c r="N200" t="str">
        <f>IF(N199&gt;controle_formulario!$E$16,"Ocultar","")</f>
        <v>Ocultar</v>
      </c>
    </row>
    <row r="247" spans="6:14" x14ac:dyDescent="0.3">
      <c r="F247" s="109"/>
      <c r="G247" s="109">
        <v>3</v>
      </c>
      <c r="H247" s="109">
        <v>4</v>
      </c>
      <c r="I247" s="109">
        <v>5</v>
      </c>
      <c r="J247" s="109">
        <v>6</v>
      </c>
      <c r="K247" s="109">
        <v>7</v>
      </c>
      <c r="L247" s="109">
        <v>8</v>
      </c>
      <c r="M247" s="109">
        <v>9</v>
      </c>
      <c r="N247" s="109">
        <v>10</v>
      </c>
    </row>
    <row r="248" spans="6:14" x14ac:dyDescent="0.3">
      <c r="F248" s="109"/>
      <c r="G248" s="109" t="str">
        <f>IF(G247&gt;controle_formulario!$E$16,"Ocultar","")</f>
        <v>Ocultar</v>
      </c>
      <c r="H248" s="109" t="str">
        <f>IF(H247&gt;controle_formulario!$E$16,"Ocultar","")</f>
        <v>Ocultar</v>
      </c>
      <c r="I248" s="109" t="str">
        <f>IF(I247&gt;controle_formulario!$E$16,"Ocultar","")</f>
        <v>Ocultar</v>
      </c>
      <c r="J248" s="109" t="str">
        <f>IF(J247&gt;controle_formulario!$E$16,"Ocultar","")</f>
        <v>Ocultar</v>
      </c>
      <c r="K248" s="109" t="str">
        <f>IF(K247&gt;controle_formulario!$E$16,"Ocultar","")</f>
        <v>Ocultar</v>
      </c>
      <c r="L248" s="109" t="str">
        <f>IF(L247&gt;controle_formulario!$E$16,"Ocultar","")</f>
        <v>Ocultar</v>
      </c>
      <c r="M248" s="109" t="str">
        <f>IF(M247&gt;controle_formulario!$E$16,"Ocultar","")</f>
        <v>Ocultar</v>
      </c>
      <c r="N248" s="109" t="str">
        <f>IF(N247&gt;controle_formulario!$E$16,"Ocultar","")</f>
        <v>Ocultar</v>
      </c>
    </row>
  </sheetData>
  <dataConsolidate/>
  <pageMargins left="0.75" right="0.75" top="1" bottom="1" header="0.5" footer="0.5"/>
  <pageSetup paperSize="9" orientation="portrait" horizontalDpi="4294967292" verticalDpi="4294967292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8"/>
  <dimension ref="B4:AL225"/>
  <sheetViews>
    <sheetView showGridLines="0" topLeftCell="D45" zoomScale="90" zoomScaleNormal="90" workbookViewId="0">
      <selection activeCell="E45" sqref="E45:P45"/>
    </sheetView>
  </sheetViews>
  <sheetFormatPr defaultColWidth="8.88671875" defaultRowHeight="14.4" x14ac:dyDescent="0.3"/>
  <cols>
    <col min="1" max="1" width="5.44140625" customWidth="1"/>
    <col min="2" max="2" width="12.88671875" customWidth="1"/>
    <col min="4" max="4" width="12.88671875" customWidth="1"/>
    <col min="5" max="5" width="13.88671875" style="52" customWidth="1"/>
    <col min="6" max="8" width="14.21875" customWidth="1"/>
    <col min="9" max="11" width="15.5546875" customWidth="1"/>
    <col min="12" max="13" width="17.109375" customWidth="1"/>
    <col min="14" max="14" width="19.33203125" customWidth="1"/>
    <col min="15" max="15" width="33.6640625" customWidth="1"/>
    <col min="16" max="16" width="20.21875" customWidth="1"/>
    <col min="17" max="17" width="14.44140625" customWidth="1"/>
    <col min="18" max="18" width="16.21875" customWidth="1"/>
    <col min="19" max="19" width="18.33203125" bestFit="1" customWidth="1"/>
    <col min="22" max="22" width="9.44140625" bestFit="1" customWidth="1"/>
  </cols>
  <sheetData>
    <row r="4" spans="4:38" x14ac:dyDescent="0.3">
      <c r="D4" s="2"/>
      <c r="E4" s="384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4"/>
    </row>
    <row r="5" spans="4:38" ht="21" x14ac:dyDescent="0.3">
      <c r="D5" s="5"/>
      <c r="E5" s="330" t="s">
        <v>134</v>
      </c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Q5" s="6"/>
    </row>
    <row r="6" spans="4:38" x14ac:dyDescent="0.3">
      <c r="D6" s="5"/>
      <c r="Q6" s="6"/>
    </row>
    <row r="7" spans="4:38" s="122" customFormat="1" ht="51" customHeight="1" x14ac:dyDescent="0.3">
      <c r="D7" s="126"/>
      <c r="E7" s="83" t="s">
        <v>130</v>
      </c>
      <c r="F7" s="127" t="s">
        <v>129</v>
      </c>
      <c r="G7" s="127"/>
      <c r="H7" s="127"/>
      <c r="I7" s="127"/>
      <c r="J7" s="127"/>
      <c r="K7" s="127"/>
      <c r="L7" s="127"/>
      <c r="M7" s="127"/>
      <c r="N7" s="127"/>
      <c r="Q7" s="116"/>
      <c r="R7" s="126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8"/>
    </row>
    <row r="8" spans="4:38" ht="7.5" customHeight="1" x14ac:dyDescent="0.3">
      <c r="D8" s="5"/>
      <c r="Q8" s="6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6"/>
    </row>
    <row r="9" spans="4:38" x14ac:dyDescent="0.3">
      <c r="D9" s="5"/>
      <c r="E9" s="385">
        <f>Criterios!$C$31</f>
        <v>2026</v>
      </c>
      <c r="F9" s="167">
        <f ca="1">IF(Populacao!I86=0,0,Populacao!I86)</f>
        <v>35.902021176061034</v>
      </c>
      <c r="G9" s="167"/>
      <c r="H9" s="167"/>
      <c r="I9" s="167"/>
      <c r="J9" s="167"/>
      <c r="K9" s="167"/>
      <c r="L9" s="167"/>
      <c r="M9" s="165"/>
      <c r="N9" s="165"/>
      <c r="Q9" s="6"/>
    </row>
    <row r="10" spans="4:38" x14ac:dyDescent="0.3">
      <c r="D10" s="5"/>
      <c r="E10" s="385">
        <f t="shared" ref="E10:E18" si="0">E9+1</f>
        <v>2027</v>
      </c>
      <c r="F10" s="167">
        <f ca="1">IF(Populacao!I87=0,0,Populacao!I87-Populacao!I86)</f>
        <v>0.12509341891728809</v>
      </c>
      <c r="G10" s="167"/>
      <c r="H10" s="167"/>
      <c r="I10" s="167"/>
      <c r="J10" s="167"/>
      <c r="K10" s="167"/>
      <c r="L10" s="167"/>
      <c r="M10" s="165"/>
      <c r="N10" s="165"/>
      <c r="Q10" s="6"/>
      <c r="AK10" s="109">
        <v>2</v>
      </c>
      <c r="AL10" s="109" t="str">
        <f>(IF(AK10&gt;controle_formulario!$I$16,"Ocultar",""))</f>
        <v/>
      </c>
    </row>
    <row r="11" spans="4:38" x14ac:dyDescent="0.3">
      <c r="D11" s="5"/>
      <c r="E11" s="385">
        <f t="shared" si="0"/>
        <v>2028</v>
      </c>
      <c r="F11" s="167">
        <f ca="1">IF(Populacao!I88=0,0,Populacao!I88-Populacao!I87)</f>
        <v>0.11562767790199757</v>
      </c>
      <c r="G11" s="167"/>
      <c r="H11" s="167"/>
      <c r="I11" s="167"/>
      <c r="J11" s="167"/>
      <c r="K11" s="167"/>
      <c r="L11" s="167"/>
      <c r="M11" s="165"/>
      <c r="N11" s="165"/>
      <c r="Q11" s="6"/>
      <c r="AK11" s="109">
        <v>3</v>
      </c>
      <c r="AL11" s="109" t="str">
        <f>(IF(AK11&gt;controle_formulario!$I$16,"Ocultar",""))</f>
        <v/>
      </c>
    </row>
    <row r="12" spans="4:38" x14ac:dyDescent="0.3">
      <c r="D12" s="5"/>
      <c r="E12" s="385">
        <f t="shared" si="0"/>
        <v>2029</v>
      </c>
      <c r="F12" s="167">
        <f ca="1">IF(Populacao!I89=0,0,Populacao!I89-Populacao!I88)</f>
        <v>0.10728560564920286</v>
      </c>
      <c r="G12" s="167"/>
      <c r="H12" s="167"/>
      <c r="I12" s="167"/>
      <c r="J12" s="167"/>
      <c r="K12" s="167"/>
      <c r="L12" s="167"/>
      <c r="M12" s="165"/>
      <c r="N12" s="165"/>
      <c r="Q12" s="6"/>
      <c r="AK12" s="109">
        <v>4</v>
      </c>
      <c r="AL12" s="109" t="str">
        <f>(IF(AK12&gt;controle_formulario!$I$16,"Ocultar",""))</f>
        <v/>
      </c>
    </row>
    <row r="13" spans="4:38" x14ac:dyDescent="0.3">
      <c r="D13" s="5"/>
      <c r="E13" s="385">
        <f t="shared" si="0"/>
        <v>2030</v>
      </c>
      <c r="F13" s="167">
        <f ca="1">IF(Populacao!I90=0,0,Populacao!I90-Populacao!I89)</f>
        <v>0.10056451800471677</v>
      </c>
      <c r="G13" s="167"/>
      <c r="H13" s="167"/>
      <c r="I13" s="167"/>
      <c r="J13" s="167"/>
      <c r="K13" s="167"/>
      <c r="L13" s="167"/>
      <c r="M13" s="165"/>
      <c r="N13" s="165"/>
      <c r="Q13" s="6"/>
      <c r="AK13" s="109">
        <v>5</v>
      </c>
      <c r="AL13" s="109" t="str">
        <f>(IF(AK13&gt;controle_formulario!$I$16,"Ocultar",""))</f>
        <v/>
      </c>
    </row>
    <row r="14" spans="4:38" x14ac:dyDescent="0.3">
      <c r="D14" s="5"/>
      <c r="E14" s="385">
        <f t="shared" si="0"/>
        <v>2031</v>
      </c>
      <c r="F14" s="167">
        <f>IF(Populacao!I91=0,0,Populacao!I91-Populacao!I90)</f>
        <v>0</v>
      </c>
      <c r="G14" s="167"/>
      <c r="H14" s="167"/>
      <c r="I14" s="167"/>
      <c r="J14" s="167"/>
      <c r="K14" s="167"/>
      <c r="L14" s="167"/>
      <c r="M14" s="165"/>
      <c r="N14" s="165"/>
      <c r="Q14" s="6"/>
      <c r="AK14" s="109">
        <v>6</v>
      </c>
      <c r="AL14" s="109" t="str">
        <f>(IF(AK14&gt;controle_formulario!$I$16,"Ocultar",""))</f>
        <v>Ocultar</v>
      </c>
    </row>
    <row r="15" spans="4:38" x14ac:dyDescent="0.3">
      <c r="D15" s="5"/>
      <c r="E15" s="385">
        <f t="shared" si="0"/>
        <v>2032</v>
      </c>
      <c r="F15" s="167">
        <f>IF(Populacao!I92=0,0,Populacao!I92-Populacao!I91)</f>
        <v>0</v>
      </c>
      <c r="G15" s="167"/>
      <c r="H15" s="167"/>
      <c r="I15" s="167"/>
      <c r="J15" s="167"/>
      <c r="K15" s="167"/>
      <c r="L15" s="167"/>
      <c r="M15" s="165"/>
      <c r="N15" s="165"/>
      <c r="Q15" s="6"/>
      <c r="AK15" s="109">
        <v>7</v>
      </c>
      <c r="AL15" s="109" t="str">
        <f>(IF(AK15&gt;controle_formulario!$I$16,"Ocultar",""))</f>
        <v>Ocultar</v>
      </c>
    </row>
    <row r="16" spans="4:38" x14ac:dyDescent="0.3">
      <c r="D16" s="5"/>
      <c r="E16" s="385">
        <f t="shared" si="0"/>
        <v>2033</v>
      </c>
      <c r="F16" s="167">
        <f>IF(Populacao!I93=0,0,Populacao!I93-Populacao!I92)</f>
        <v>0</v>
      </c>
      <c r="G16" s="167"/>
      <c r="H16" s="167"/>
      <c r="I16" s="167"/>
      <c r="J16" s="167"/>
      <c r="K16" s="167"/>
      <c r="L16" s="167"/>
      <c r="M16" s="165"/>
      <c r="N16" s="165"/>
      <c r="Q16" s="6"/>
      <c r="AK16" s="109">
        <v>8</v>
      </c>
      <c r="AL16" s="109" t="str">
        <f>(IF(AK16&gt;controle_formulario!$I$16,"Ocultar",""))</f>
        <v>Ocultar</v>
      </c>
    </row>
    <row r="17" spans="4:38" x14ac:dyDescent="0.3">
      <c r="D17" s="5"/>
      <c r="E17" s="385">
        <f t="shared" si="0"/>
        <v>2034</v>
      </c>
      <c r="F17" s="167">
        <f>IF(Populacao!I94=0,0,Populacao!I94-Populacao!I93)</f>
        <v>0</v>
      </c>
      <c r="G17" s="167"/>
      <c r="H17" s="167"/>
      <c r="I17" s="167"/>
      <c r="J17" s="167"/>
      <c r="K17" s="167"/>
      <c r="L17" s="167"/>
      <c r="M17" s="165"/>
      <c r="N17" s="165"/>
      <c r="Q17" s="6"/>
      <c r="AK17" s="109">
        <v>9</v>
      </c>
      <c r="AL17" s="109" t="str">
        <f>(IF(AK17&gt;controle_formulario!$I$16,"Ocultar",""))</f>
        <v>Ocultar</v>
      </c>
    </row>
    <row r="18" spans="4:38" x14ac:dyDescent="0.3">
      <c r="D18" s="5"/>
      <c r="E18" s="385">
        <f t="shared" si="0"/>
        <v>2035</v>
      </c>
      <c r="F18" s="167">
        <f>IF(Populacao!I95=0,0,Populacao!I95-Populacao!I94)</f>
        <v>0</v>
      </c>
      <c r="G18" s="167"/>
      <c r="H18" s="167"/>
      <c r="I18" s="167"/>
      <c r="J18" s="167"/>
      <c r="K18" s="167"/>
      <c r="L18" s="167"/>
      <c r="M18" s="165"/>
      <c r="N18" s="165"/>
      <c r="Q18" s="6"/>
      <c r="AK18" s="109">
        <v>10</v>
      </c>
      <c r="AL18" s="109" t="str">
        <f>(IF(AK18&gt;controle_formulario!$I$16,"Ocultar",""))</f>
        <v>Ocultar</v>
      </c>
    </row>
    <row r="19" spans="4:38" x14ac:dyDescent="0.3">
      <c r="D19" s="5"/>
      <c r="Q19" s="6"/>
      <c r="S19" s="293" t="s">
        <v>133</v>
      </c>
      <c r="T19" s="294"/>
      <c r="U19" s="294"/>
      <c r="V19" s="294"/>
      <c r="W19" s="294"/>
      <c r="X19" s="294"/>
      <c r="Y19" s="323"/>
    </row>
    <row r="20" spans="4:38" x14ac:dyDescent="0.3">
      <c r="D20" s="5"/>
      <c r="Q20" s="6"/>
      <c r="S20" s="295"/>
      <c r="T20" s="296"/>
      <c r="U20" s="296"/>
      <c r="V20" s="296"/>
      <c r="W20" s="296"/>
      <c r="X20" s="296"/>
      <c r="Y20" s="324"/>
    </row>
    <row r="21" spans="4:38" ht="43.2" x14ac:dyDescent="0.3">
      <c r="D21" s="5"/>
      <c r="E21" s="83" t="s">
        <v>132</v>
      </c>
      <c r="F21" s="127" t="s">
        <v>131</v>
      </c>
      <c r="G21" s="127"/>
      <c r="H21" s="127"/>
      <c r="I21" s="127"/>
      <c r="J21" s="127"/>
      <c r="K21" s="127"/>
      <c r="L21" s="127"/>
      <c r="M21" s="127"/>
      <c r="N21" s="127"/>
      <c r="Q21" s="6"/>
      <c r="S21" s="295"/>
      <c r="T21" s="296"/>
      <c r="U21" s="296"/>
      <c r="V21" s="296"/>
      <c r="W21" s="296"/>
      <c r="X21" s="296"/>
      <c r="Y21" s="324"/>
    </row>
    <row r="22" spans="4:38" x14ac:dyDescent="0.3">
      <c r="D22" s="5"/>
      <c r="Q22" s="6"/>
      <c r="S22" s="295"/>
      <c r="T22" s="296"/>
      <c r="U22" s="296"/>
      <c r="V22" s="296"/>
      <c r="W22" s="296"/>
      <c r="X22" s="296"/>
      <c r="Y22" s="324"/>
    </row>
    <row r="23" spans="4:38" x14ac:dyDescent="0.3">
      <c r="D23" s="5"/>
      <c r="E23" s="386"/>
      <c r="F23" s="47"/>
      <c r="G23" s="47"/>
      <c r="H23" s="47"/>
      <c r="I23" s="47"/>
      <c r="J23" s="47"/>
      <c r="K23" s="47"/>
      <c r="L23" s="47"/>
      <c r="M23" s="47"/>
      <c r="N23" s="166"/>
      <c r="Q23" s="6"/>
      <c r="S23" s="295"/>
      <c r="T23" s="296"/>
      <c r="U23" s="296"/>
      <c r="V23" s="296"/>
      <c r="W23" s="296"/>
      <c r="X23" s="296"/>
      <c r="Y23" s="324"/>
    </row>
    <row r="24" spans="4:38" x14ac:dyDescent="0.3">
      <c r="D24" s="5"/>
      <c r="E24" s="386"/>
      <c r="F24" s="47"/>
      <c r="G24" s="47"/>
      <c r="H24" s="47"/>
      <c r="I24" s="47"/>
      <c r="J24" s="47"/>
      <c r="K24" s="47"/>
      <c r="L24" s="47"/>
      <c r="M24" s="47"/>
      <c r="N24" s="166"/>
      <c r="Q24" s="6"/>
      <c r="S24" s="295"/>
      <c r="T24" s="296"/>
      <c r="U24" s="296"/>
      <c r="V24" s="296"/>
      <c r="W24" s="296"/>
      <c r="X24" s="296"/>
      <c r="Y24" s="324"/>
    </row>
    <row r="25" spans="4:38" x14ac:dyDescent="0.3">
      <c r="D25" s="5"/>
      <c r="E25" s="386"/>
      <c r="F25" s="47"/>
      <c r="G25" s="47"/>
      <c r="H25" s="47"/>
      <c r="I25" s="47"/>
      <c r="J25" s="47"/>
      <c r="K25" s="47"/>
      <c r="L25" s="47"/>
      <c r="M25" s="47"/>
      <c r="N25" s="166"/>
      <c r="Q25" s="6"/>
      <c r="S25" s="295"/>
      <c r="T25" s="296"/>
      <c r="U25" s="296"/>
      <c r="V25" s="296"/>
      <c r="W25" s="296"/>
      <c r="X25" s="296"/>
      <c r="Y25" s="324"/>
    </row>
    <row r="26" spans="4:38" x14ac:dyDescent="0.3">
      <c r="D26" s="5"/>
      <c r="E26" s="386"/>
      <c r="F26" s="47"/>
      <c r="G26" s="47"/>
      <c r="H26" s="47"/>
      <c r="I26" s="47"/>
      <c r="J26" s="47"/>
      <c r="K26" s="47"/>
      <c r="L26" s="47"/>
      <c r="M26" s="47"/>
      <c r="N26" s="166"/>
      <c r="Q26" s="6"/>
      <c r="S26" s="295"/>
      <c r="T26" s="296"/>
      <c r="U26" s="296"/>
      <c r="V26" s="296"/>
      <c r="W26" s="296"/>
      <c r="X26" s="296"/>
      <c r="Y26" s="324"/>
    </row>
    <row r="27" spans="4:38" x14ac:dyDescent="0.3">
      <c r="D27" s="5"/>
      <c r="E27" s="386"/>
      <c r="F27" s="47"/>
      <c r="G27" s="47"/>
      <c r="H27" s="47"/>
      <c r="I27" s="47"/>
      <c r="J27" s="47"/>
      <c r="K27" s="47"/>
      <c r="L27" s="47"/>
      <c r="M27" s="47"/>
      <c r="N27" s="166"/>
      <c r="Q27" s="6"/>
      <c r="S27" s="295"/>
      <c r="T27" s="296"/>
      <c r="U27" s="296"/>
      <c r="V27" s="296"/>
      <c r="W27" s="296"/>
      <c r="X27" s="296"/>
      <c r="Y27" s="324"/>
    </row>
    <row r="28" spans="4:38" x14ac:dyDescent="0.3">
      <c r="D28" s="5"/>
      <c r="E28" s="386"/>
      <c r="F28" s="47"/>
      <c r="G28" s="47"/>
      <c r="H28" s="47"/>
      <c r="I28" s="47"/>
      <c r="J28" s="47"/>
      <c r="K28" s="47"/>
      <c r="L28" s="47"/>
      <c r="M28" s="47"/>
      <c r="N28" s="166"/>
      <c r="Q28" s="6"/>
      <c r="S28" s="295"/>
      <c r="T28" s="296"/>
      <c r="U28" s="296"/>
      <c r="V28" s="296"/>
      <c r="W28" s="296"/>
      <c r="X28" s="296"/>
      <c r="Y28" s="324"/>
    </row>
    <row r="29" spans="4:38" x14ac:dyDescent="0.3">
      <c r="D29" s="5"/>
      <c r="E29" s="386"/>
      <c r="F29" s="47"/>
      <c r="G29" s="47"/>
      <c r="H29" s="47"/>
      <c r="I29" s="47"/>
      <c r="J29" s="47"/>
      <c r="K29" s="47"/>
      <c r="L29" s="47"/>
      <c r="M29" s="47"/>
      <c r="N29" s="166"/>
      <c r="Q29" s="6"/>
      <c r="S29" s="295"/>
      <c r="T29" s="296"/>
      <c r="U29" s="296"/>
      <c r="V29" s="296"/>
      <c r="W29" s="296"/>
      <c r="X29" s="296"/>
      <c r="Y29" s="324"/>
    </row>
    <row r="30" spans="4:38" x14ac:dyDescent="0.3">
      <c r="D30" s="5"/>
      <c r="E30" s="386"/>
      <c r="F30" s="47"/>
      <c r="G30" s="47"/>
      <c r="H30" s="47"/>
      <c r="I30" s="47"/>
      <c r="J30" s="47"/>
      <c r="K30" s="47"/>
      <c r="L30" s="47"/>
      <c r="M30" s="47"/>
      <c r="N30" s="166"/>
      <c r="Q30" s="6"/>
      <c r="S30" s="298"/>
      <c r="T30" s="299"/>
      <c r="U30" s="299"/>
      <c r="V30" s="299"/>
      <c r="W30" s="299"/>
      <c r="X30" s="299"/>
      <c r="Y30" s="325"/>
    </row>
    <row r="31" spans="4:38" x14ac:dyDescent="0.3">
      <c r="D31" s="5"/>
      <c r="E31" s="386"/>
      <c r="F31" s="47"/>
      <c r="G31" s="47"/>
      <c r="H31" s="47"/>
      <c r="I31" s="47"/>
      <c r="J31" s="47"/>
      <c r="K31" s="47"/>
      <c r="L31" s="47"/>
      <c r="M31" s="47"/>
      <c r="N31" s="166"/>
      <c r="O31" s="40"/>
      <c r="Q31" s="6"/>
      <c r="S31" s="79"/>
    </row>
    <row r="32" spans="4:38" x14ac:dyDescent="0.3">
      <c r="D32" s="5"/>
      <c r="E32" s="386"/>
      <c r="F32" s="47"/>
      <c r="G32" s="47"/>
      <c r="H32" s="47"/>
      <c r="I32" s="47"/>
      <c r="J32" s="47"/>
      <c r="K32" s="47"/>
      <c r="L32" s="47"/>
      <c r="M32" s="47"/>
      <c r="N32" s="166"/>
      <c r="Q32" s="6"/>
      <c r="S32" s="79"/>
    </row>
    <row r="33" spans="4:19" x14ac:dyDescent="0.3">
      <c r="D33" s="5"/>
      <c r="Q33" s="6"/>
      <c r="S33" s="79"/>
    </row>
    <row r="34" spans="4:19" x14ac:dyDescent="0.3">
      <c r="D34" s="5"/>
      <c r="Q34" s="6"/>
    </row>
    <row r="35" spans="4:19" x14ac:dyDescent="0.3">
      <c r="D35" s="5"/>
      <c r="E35" s="23" t="s">
        <v>28</v>
      </c>
      <c r="Q35" s="6"/>
    </row>
    <row r="36" spans="4:19" ht="11.4" customHeight="1" x14ac:dyDescent="0.3">
      <c r="D36" s="5"/>
      <c r="E36" s="332"/>
      <c r="F36" s="332"/>
      <c r="G36" s="332"/>
      <c r="H36" s="332"/>
      <c r="I36" s="332"/>
      <c r="J36" s="332"/>
      <c r="K36" s="332"/>
      <c r="L36" s="332"/>
      <c r="M36" s="332"/>
      <c r="N36" s="332"/>
      <c r="O36" s="332"/>
      <c r="P36" s="332"/>
      <c r="Q36" s="6"/>
    </row>
    <row r="37" spans="4:19" ht="12" customHeight="1" x14ac:dyDescent="0.3">
      <c r="D37" s="5"/>
      <c r="E37" s="332"/>
      <c r="F37" s="332"/>
      <c r="G37" s="332"/>
      <c r="H37" s="332"/>
      <c r="I37" s="332"/>
      <c r="J37" s="332"/>
      <c r="K37" s="332"/>
      <c r="L37" s="332"/>
      <c r="M37" s="332"/>
      <c r="N37" s="332"/>
      <c r="O37" s="332"/>
      <c r="P37" s="332"/>
      <c r="Q37" s="6"/>
    </row>
    <row r="38" spans="4:19" ht="15" customHeight="1" x14ac:dyDescent="0.3">
      <c r="D38" s="5"/>
      <c r="E38" s="332"/>
      <c r="F38" s="332"/>
      <c r="G38" s="332"/>
      <c r="H38" s="332"/>
      <c r="I38" s="332"/>
      <c r="J38" s="332"/>
      <c r="K38" s="332"/>
      <c r="L38" s="332"/>
      <c r="M38" s="332"/>
      <c r="N38" s="332"/>
      <c r="O38" s="332"/>
      <c r="P38" s="332"/>
      <c r="Q38" s="6"/>
    </row>
    <row r="39" spans="4:19" ht="10.8" customHeight="1" x14ac:dyDescent="0.3">
      <c r="D39" s="5"/>
      <c r="E39" s="332"/>
      <c r="F39" s="332"/>
      <c r="G39" s="332"/>
      <c r="H39" s="332"/>
      <c r="I39" s="332"/>
      <c r="J39" s="332"/>
      <c r="K39" s="332"/>
      <c r="L39" s="332"/>
      <c r="M39" s="332"/>
      <c r="N39" s="332"/>
      <c r="O39" s="332"/>
      <c r="P39" s="332"/>
      <c r="Q39" s="6"/>
    </row>
    <row r="40" spans="4:19" ht="10.199999999999999" customHeight="1" x14ac:dyDescent="0.3">
      <c r="D40" s="5"/>
      <c r="E40" s="332"/>
      <c r="F40" s="332"/>
      <c r="G40" s="332"/>
      <c r="H40" s="332"/>
      <c r="I40" s="332"/>
      <c r="J40" s="332"/>
      <c r="K40" s="332"/>
      <c r="L40" s="332"/>
      <c r="M40" s="332"/>
      <c r="N40" s="332"/>
      <c r="O40" s="332"/>
      <c r="P40" s="332"/>
      <c r="Q40" s="6"/>
    </row>
    <row r="41" spans="4:19" x14ac:dyDescent="0.3">
      <c r="D41" s="7"/>
      <c r="E41" s="387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9"/>
    </row>
    <row r="44" spans="4:19" x14ac:dyDescent="0.3">
      <c r="D44" s="2"/>
      <c r="E44" s="384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4"/>
    </row>
    <row r="45" spans="4:19" ht="62.25" customHeight="1" thickBot="1" x14ac:dyDescent="0.35">
      <c r="D45" s="5"/>
      <c r="E45" s="333" t="s">
        <v>135</v>
      </c>
      <c r="F45" s="333"/>
      <c r="G45" s="333"/>
      <c r="H45" s="333"/>
      <c r="I45" s="333"/>
      <c r="J45" s="333"/>
      <c r="K45" s="333"/>
      <c r="L45" s="333"/>
      <c r="M45" s="333"/>
      <c r="N45" s="333"/>
      <c r="O45" s="330"/>
      <c r="P45" s="333"/>
      <c r="Q45" s="6"/>
    </row>
    <row r="46" spans="4:19" ht="49.8" customHeight="1" x14ac:dyDescent="0.3">
      <c r="D46" s="251" t="s">
        <v>195</v>
      </c>
      <c r="E46" s="253" t="s">
        <v>247</v>
      </c>
      <c r="F46" s="252" t="s">
        <v>203</v>
      </c>
      <c r="G46" s="253" t="s">
        <v>248</v>
      </c>
      <c r="H46" s="253" t="s">
        <v>192</v>
      </c>
      <c r="I46" s="253" t="s">
        <v>193</v>
      </c>
      <c r="J46" s="253" t="s">
        <v>249</v>
      </c>
      <c r="K46" s="253" t="s">
        <v>251</v>
      </c>
      <c r="L46" s="253" t="s">
        <v>250</v>
      </c>
      <c r="M46" s="253" t="s">
        <v>194</v>
      </c>
      <c r="N46" s="253" t="s">
        <v>207</v>
      </c>
      <c r="O46" s="253" t="s">
        <v>208</v>
      </c>
      <c r="P46" s="253" t="s">
        <v>242</v>
      </c>
      <c r="Q46" s="264" t="s">
        <v>252</v>
      </c>
      <c r="R46" s="290" t="s">
        <v>253</v>
      </c>
    </row>
    <row r="47" spans="4:19" ht="49.8" customHeight="1" x14ac:dyDescent="0.3">
      <c r="D47" s="267" t="s">
        <v>185</v>
      </c>
      <c r="E47" s="247">
        <v>200</v>
      </c>
      <c r="F47" s="247" t="s">
        <v>206</v>
      </c>
      <c r="G47" s="247" t="s">
        <v>243</v>
      </c>
      <c r="H47" s="247">
        <v>200</v>
      </c>
      <c r="I47" s="246" t="s">
        <v>238</v>
      </c>
      <c r="J47" s="246">
        <v>200</v>
      </c>
      <c r="K47" s="246">
        <v>1</v>
      </c>
      <c r="L47" s="246">
        <v>87664.95</v>
      </c>
      <c r="M47" s="275">
        <f>L47/60</f>
        <v>1461.0825</v>
      </c>
      <c r="N47" s="280">
        <v>1</v>
      </c>
      <c r="O47" s="246" t="s">
        <v>243</v>
      </c>
      <c r="P47" s="246">
        <f>7*2*M47</f>
        <v>20455.154999999999</v>
      </c>
      <c r="Q47" s="288">
        <f>P47</f>
        <v>20455.154999999999</v>
      </c>
      <c r="R47" s="291">
        <f>Q47</f>
        <v>20455.154999999999</v>
      </c>
    </row>
    <row r="48" spans="4:19" ht="41.4" customHeight="1" x14ac:dyDescent="0.3">
      <c r="D48" s="277" t="s">
        <v>199</v>
      </c>
      <c r="E48" s="247">
        <v>70</v>
      </c>
      <c r="F48" s="247" t="s">
        <v>204</v>
      </c>
      <c r="G48" s="247">
        <v>137.19999999999999</v>
      </c>
      <c r="H48" s="247">
        <v>2</v>
      </c>
      <c r="I48" s="246" t="s">
        <v>239</v>
      </c>
      <c r="J48" s="246">
        <f>E48*$E$63*H48</f>
        <v>274.39999999999998</v>
      </c>
      <c r="K48" s="270">
        <f>J48/100</f>
        <v>2.7439999999999998</v>
      </c>
      <c r="L48" s="247">
        <v>1376</v>
      </c>
      <c r="M48" s="247" t="s">
        <v>243</v>
      </c>
      <c r="N48" s="268">
        <v>0.20599999999999999</v>
      </c>
      <c r="O48" s="274">
        <f>(Q61+Q63)</f>
        <v>1158.75</v>
      </c>
      <c r="P48" s="270">
        <f>K48*L48</f>
        <v>3775.7439999999997</v>
      </c>
      <c r="Q48" s="289">
        <f>P48+O48</f>
        <v>4934.4939999999997</v>
      </c>
      <c r="R48" s="291">
        <f>Q48*N48</f>
        <v>1016.5057639999999</v>
      </c>
    </row>
    <row r="49" spans="3:20" ht="34.799999999999997" customHeight="1" x14ac:dyDescent="0.3">
      <c r="D49" s="249" t="s">
        <v>200</v>
      </c>
      <c r="E49" s="247">
        <v>1.3</v>
      </c>
      <c r="F49" s="247" t="s">
        <v>204</v>
      </c>
      <c r="G49" s="247">
        <v>2.5499999999999998</v>
      </c>
      <c r="H49" s="247">
        <v>4</v>
      </c>
      <c r="I49" s="241" t="s">
        <v>244</v>
      </c>
      <c r="J49" s="246">
        <f>E49*$E$63*H49</f>
        <v>10.192</v>
      </c>
      <c r="K49" s="282">
        <f>J49/3.5</f>
        <v>2.9119999999999999</v>
      </c>
      <c r="L49" s="269">
        <v>4449.45</v>
      </c>
      <c r="M49" s="269" t="s">
        <v>243</v>
      </c>
      <c r="N49" s="268">
        <v>0.14599999999999999</v>
      </c>
      <c r="O49" s="274">
        <f>O48</f>
        <v>1158.75</v>
      </c>
      <c r="P49" s="270">
        <f>L49*K49</f>
        <v>12956.7984</v>
      </c>
      <c r="Q49" s="289">
        <f t="shared" ref="Q49:Q54" si="1">P49+O49</f>
        <v>14115.5484</v>
      </c>
      <c r="R49" s="291">
        <f t="shared" ref="R49:R54" si="2">Q49*N49</f>
        <v>2060.8700663999998</v>
      </c>
    </row>
    <row r="50" spans="3:20" s="56" customFormat="1" ht="28.2" customHeight="1" x14ac:dyDescent="0.3">
      <c r="D50" s="249" t="s">
        <v>201</v>
      </c>
      <c r="E50" s="247">
        <v>30</v>
      </c>
      <c r="F50" s="247" t="s">
        <v>205</v>
      </c>
      <c r="G50" s="247">
        <v>58.8</v>
      </c>
      <c r="H50" s="247">
        <v>1</v>
      </c>
      <c r="I50" s="247" t="s">
        <v>191</v>
      </c>
      <c r="J50" s="246">
        <f>E50*E61*H50</f>
        <v>2415</v>
      </c>
      <c r="K50" s="281">
        <f>J50/200</f>
        <v>12.074999999999999</v>
      </c>
      <c r="L50" s="247">
        <v>19.510000000000002</v>
      </c>
      <c r="M50" s="247" t="s">
        <v>243</v>
      </c>
      <c r="N50" s="268">
        <v>0.152</v>
      </c>
      <c r="O50" s="274">
        <f>O48</f>
        <v>1158.75</v>
      </c>
      <c r="P50" s="270">
        <f>L50*K50</f>
        <v>235.58324999999999</v>
      </c>
      <c r="Q50" s="289">
        <f t="shared" si="1"/>
        <v>1394.3332499999999</v>
      </c>
      <c r="R50" s="291">
        <f t="shared" si="2"/>
        <v>211.93865399999999</v>
      </c>
    </row>
    <row r="51" spans="3:20" s="52" customFormat="1" ht="29.4" customHeight="1" x14ac:dyDescent="0.3">
      <c r="D51" s="249" t="s">
        <v>196</v>
      </c>
      <c r="E51" s="247">
        <v>500</v>
      </c>
      <c r="F51" s="247" t="s">
        <v>204</v>
      </c>
      <c r="G51" s="247">
        <v>980</v>
      </c>
      <c r="H51" s="247">
        <v>3</v>
      </c>
      <c r="I51" s="247" t="s">
        <v>239</v>
      </c>
      <c r="J51" s="246">
        <f t="shared" ref="J51:J54" si="3">E51*$E$63*H51</f>
        <v>2940</v>
      </c>
      <c r="K51" s="247">
        <f>J51/1000</f>
        <v>2.94</v>
      </c>
      <c r="L51" s="247">
        <v>149.88</v>
      </c>
      <c r="M51" s="247" t="s">
        <v>243</v>
      </c>
      <c r="N51" s="268">
        <v>5.7000000000000002E-2</v>
      </c>
      <c r="O51" s="274">
        <f>O48</f>
        <v>1158.75</v>
      </c>
      <c r="P51" s="270">
        <f t="shared" ref="P51:P54" si="4">L51*K51</f>
        <v>440.6472</v>
      </c>
      <c r="Q51" s="289">
        <f t="shared" si="1"/>
        <v>1599.3971999999999</v>
      </c>
      <c r="R51" s="291">
        <f t="shared" si="2"/>
        <v>91.165640400000001</v>
      </c>
    </row>
    <row r="52" spans="3:20" ht="34.799999999999997" customHeight="1" x14ac:dyDescent="0.3">
      <c r="D52" s="249" t="s">
        <v>197</v>
      </c>
      <c r="E52" s="247">
        <v>45</v>
      </c>
      <c r="F52" s="247" t="s">
        <v>204</v>
      </c>
      <c r="G52" s="247">
        <v>88.2</v>
      </c>
      <c r="H52" s="247">
        <v>1</v>
      </c>
      <c r="I52" s="247" t="s">
        <v>240</v>
      </c>
      <c r="J52" s="246">
        <f t="shared" si="3"/>
        <v>88.2</v>
      </c>
      <c r="K52" s="281">
        <f>J52/50</f>
        <v>1.764</v>
      </c>
      <c r="L52" s="247">
        <v>244.37</v>
      </c>
      <c r="M52" s="247" t="s">
        <v>243</v>
      </c>
      <c r="N52" s="268">
        <v>0.10100000000000001</v>
      </c>
      <c r="O52" s="274">
        <f>O48</f>
        <v>1158.75</v>
      </c>
      <c r="P52" s="270">
        <f t="shared" si="4"/>
        <v>431.06868000000003</v>
      </c>
      <c r="Q52" s="289">
        <f t="shared" si="1"/>
        <v>1589.8186800000001</v>
      </c>
      <c r="R52" s="291">
        <f t="shared" si="2"/>
        <v>160.57168668000003</v>
      </c>
    </row>
    <row r="53" spans="3:20" ht="34.799999999999997" customHeight="1" x14ac:dyDescent="0.3">
      <c r="D53" s="267" t="s">
        <v>245</v>
      </c>
      <c r="E53" s="247">
        <v>375</v>
      </c>
      <c r="F53" s="247" t="s">
        <v>204</v>
      </c>
      <c r="G53" s="247">
        <v>735</v>
      </c>
      <c r="H53" s="247">
        <v>1</v>
      </c>
      <c r="I53" s="247" t="s">
        <v>239</v>
      </c>
      <c r="J53" s="246">
        <f t="shared" si="3"/>
        <v>735</v>
      </c>
      <c r="K53" s="247">
        <f>J53/100</f>
        <v>7.35</v>
      </c>
      <c r="L53" s="242">
        <v>1148.6600000000001</v>
      </c>
      <c r="M53" s="269" t="s">
        <v>243</v>
      </c>
      <c r="N53" s="268">
        <v>0.627</v>
      </c>
      <c r="O53" s="274">
        <f>O48</f>
        <v>1158.75</v>
      </c>
      <c r="P53" s="270">
        <f t="shared" si="4"/>
        <v>8442.6509999999998</v>
      </c>
      <c r="Q53" s="289">
        <f t="shared" si="1"/>
        <v>9601.4009999999998</v>
      </c>
      <c r="R53" s="291">
        <f t="shared" si="2"/>
        <v>6020.0784269999995</v>
      </c>
    </row>
    <row r="54" spans="3:20" ht="34.799999999999997" customHeight="1" thickBot="1" x14ac:dyDescent="0.35">
      <c r="D54" s="249" t="s">
        <v>198</v>
      </c>
      <c r="E54" s="247">
        <v>1.45</v>
      </c>
      <c r="F54" s="247" t="s">
        <v>204</v>
      </c>
      <c r="G54" s="247">
        <v>2.84</v>
      </c>
      <c r="H54" s="247">
        <v>1</v>
      </c>
      <c r="I54" s="247" t="s">
        <v>241</v>
      </c>
      <c r="J54" s="270">
        <f t="shared" si="3"/>
        <v>2.8420000000000001</v>
      </c>
      <c r="K54" s="281">
        <f>J54/1</f>
        <v>2.8420000000000001</v>
      </c>
      <c r="L54" s="247">
        <v>33.18</v>
      </c>
      <c r="M54" s="247" t="s">
        <v>243</v>
      </c>
      <c r="N54" s="268">
        <v>0.108</v>
      </c>
      <c r="O54" s="274">
        <f>O48</f>
        <v>1158.75</v>
      </c>
      <c r="P54" s="270">
        <f t="shared" si="4"/>
        <v>94.297560000000004</v>
      </c>
      <c r="Q54" s="289">
        <f t="shared" si="1"/>
        <v>1253.04756</v>
      </c>
      <c r="R54" s="292">
        <f t="shared" si="2"/>
        <v>135.32913647999999</v>
      </c>
    </row>
    <row r="55" spans="3:20" ht="22.2" customHeight="1" x14ac:dyDescent="0.3">
      <c r="D55" s="254"/>
      <c r="F55" s="254"/>
      <c r="G55" s="254"/>
      <c r="H55" s="254"/>
      <c r="I55" s="254"/>
      <c r="J55" s="254"/>
      <c r="K55" s="254"/>
      <c r="L55" s="254"/>
      <c r="M55" s="254"/>
      <c r="N55" s="254"/>
      <c r="O55" s="254"/>
      <c r="P55" s="254"/>
      <c r="Q55" s="254"/>
    </row>
    <row r="56" spans="3:20" ht="22.2" customHeight="1" x14ac:dyDescent="0.3">
      <c r="D56" s="254"/>
      <c r="F56" s="254"/>
      <c r="G56" s="254"/>
      <c r="H56" s="254"/>
      <c r="I56" s="254"/>
      <c r="J56" s="254"/>
      <c r="K56" s="254"/>
      <c r="L56" s="254"/>
      <c r="M56" s="254"/>
      <c r="N56" s="254"/>
      <c r="O56" s="254"/>
      <c r="P56" s="254"/>
      <c r="Q56" s="254"/>
    </row>
    <row r="57" spans="3:20" ht="22.2" customHeight="1" x14ac:dyDescent="0.3">
      <c r="C57" s="343"/>
      <c r="D57" s="344"/>
      <c r="E57" s="388"/>
      <c r="F57" s="344"/>
      <c r="G57" s="344"/>
      <c r="H57" s="344"/>
      <c r="I57" s="344"/>
      <c r="J57" s="344"/>
      <c r="K57" s="254"/>
      <c r="L57" s="254"/>
      <c r="M57" s="254"/>
      <c r="N57" s="254"/>
      <c r="O57" s="254"/>
      <c r="P57" s="254"/>
      <c r="Q57" s="254"/>
    </row>
    <row r="58" spans="3:20" s="254" customFormat="1" x14ac:dyDescent="0.3">
      <c r="C58" s="357" t="s">
        <v>209</v>
      </c>
      <c r="D58" s="358"/>
      <c r="E58" s="252" t="s">
        <v>210</v>
      </c>
      <c r="F58" s="357" t="s">
        <v>211</v>
      </c>
      <c r="G58" s="358"/>
      <c r="H58" s="345"/>
      <c r="I58" s="344"/>
      <c r="J58" s="344"/>
      <c r="O58" s="56"/>
      <c r="P58" s="56"/>
      <c r="Q58" s="56"/>
      <c r="R58" s="56"/>
    </row>
    <row r="59" spans="3:20" s="254" customFormat="1" ht="15.6" x14ac:dyDescent="0.3">
      <c r="C59" s="350" t="s">
        <v>212</v>
      </c>
      <c r="D59" s="351"/>
      <c r="E59" s="378">
        <v>69.400000000000006</v>
      </c>
      <c r="F59" s="352" t="s">
        <v>213</v>
      </c>
      <c r="G59" s="353"/>
      <c r="H59" s="346"/>
      <c r="I59" s="344"/>
      <c r="J59" s="344"/>
      <c r="O59" s="335" t="s">
        <v>227</v>
      </c>
      <c r="P59" s="336"/>
      <c r="Q59" s="336"/>
      <c r="R59" s="337"/>
    </row>
    <row r="60" spans="3:20" s="254" customFormat="1" ht="15" thickBot="1" x14ac:dyDescent="0.35">
      <c r="C60" s="349" t="s">
        <v>214</v>
      </c>
      <c r="D60" s="349"/>
      <c r="E60" s="389">
        <v>0.2</v>
      </c>
      <c r="F60" s="352" t="s">
        <v>213</v>
      </c>
      <c r="G60" s="353"/>
      <c r="H60" s="346"/>
      <c r="I60" s="344"/>
      <c r="J60" s="344"/>
      <c r="O60" s="341"/>
      <c r="P60" s="342" t="s">
        <v>228</v>
      </c>
      <c r="Q60" s="342" t="s">
        <v>210</v>
      </c>
      <c r="R60" s="342" t="s">
        <v>229</v>
      </c>
    </row>
    <row r="61" spans="3:20" s="254" customFormat="1" ht="17.399999999999999" customHeight="1" thickBot="1" x14ac:dyDescent="0.35">
      <c r="C61" s="350" t="s">
        <v>215</v>
      </c>
      <c r="D61" s="351"/>
      <c r="E61" s="378">
        <v>80.5</v>
      </c>
      <c r="F61" s="354" t="s">
        <v>213</v>
      </c>
      <c r="G61" s="355"/>
      <c r="H61" s="346"/>
      <c r="I61" s="344"/>
      <c r="J61" s="362"/>
      <c r="L61" s="255"/>
      <c r="M61" s="255"/>
      <c r="N61" s="255"/>
      <c r="O61" s="369" t="s">
        <v>230</v>
      </c>
      <c r="P61" s="371" t="s">
        <v>231</v>
      </c>
      <c r="Q61" s="373">
        <v>1039.08</v>
      </c>
      <c r="R61" s="375" t="s">
        <v>232</v>
      </c>
      <c r="S61" s="255"/>
      <c r="T61" s="257"/>
    </row>
    <row r="62" spans="3:20" s="254" customFormat="1" ht="15.6" customHeight="1" x14ac:dyDescent="0.3">
      <c r="C62" s="356" t="s">
        <v>246</v>
      </c>
      <c r="D62" s="356"/>
      <c r="E62" s="378">
        <v>170</v>
      </c>
      <c r="F62" s="352"/>
      <c r="G62" s="353"/>
      <c r="H62" s="346"/>
      <c r="I62" s="344"/>
      <c r="J62" s="344"/>
      <c r="L62" s="255"/>
      <c r="M62" s="255"/>
      <c r="N62" s="255"/>
      <c r="O62" s="370"/>
      <c r="P62" s="372"/>
      <c r="Q62" s="374"/>
      <c r="R62" s="376"/>
      <c r="S62" s="255"/>
      <c r="T62" s="257"/>
    </row>
    <row r="63" spans="3:20" s="254" customFormat="1" ht="28.8" customHeight="1" x14ac:dyDescent="0.3">
      <c r="C63" s="350" t="s">
        <v>216</v>
      </c>
      <c r="D63" s="351"/>
      <c r="E63" s="378">
        <v>1.96</v>
      </c>
      <c r="F63" s="354" t="s">
        <v>217</v>
      </c>
      <c r="G63" s="355"/>
      <c r="H63" s="346"/>
      <c r="I63" s="344"/>
      <c r="J63" s="344"/>
      <c r="L63" s="255"/>
      <c r="M63" s="255"/>
      <c r="N63" s="255"/>
      <c r="O63" s="377" t="s">
        <v>233</v>
      </c>
      <c r="P63" s="340" t="s">
        <v>234</v>
      </c>
      <c r="Q63" s="338">
        <v>119.67</v>
      </c>
      <c r="R63" s="339" t="s">
        <v>232</v>
      </c>
      <c r="S63" s="255"/>
      <c r="T63" s="257"/>
    </row>
    <row r="64" spans="3:20" s="254" customFormat="1" ht="15.6" x14ac:dyDescent="0.3">
      <c r="C64" s="255"/>
      <c r="D64" s="255"/>
      <c r="E64" s="390"/>
      <c r="F64" s="256"/>
      <c r="G64" s="256"/>
      <c r="H64" s="256"/>
      <c r="L64" s="255"/>
      <c r="M64" s="255"/>
      <c r="N64" s="255"/>
      <c r="O64" s="271"/>
      <c r="P64" s="272"/>
      <c r="Q64" s="287"/>
      <c r="R64" s="273"/>
      <c r="S64" s="255"/>
      <c r="T64" s="255"/>
    </row>
    <row r="65" spans="2:20" s="254" customFormat="1" ht="15" thickBot="1" x14ac:dyDescent="0.35">
      <c r="C65" s="255"/>
      <c r="D65" s="255"/>
      <c r="E65" s="391"/>
      <c r="F65" s="256"/>
      <c r="G65" s="256"/>
      <c r="H65" s="256"/>
      <c r="L65" s="255"/>
      <c r="M65" s="255"/>
      <c r="N65" s="255"/>
      <c r="O65" s="255"/>
      <c r="P65" s="255"/>
      <c r="Q65" s="255"/>
      <c r="R65" s="255"/>
      <c r="S65" s="255"/>
      <c r="T65" s="255"/>
    </row>
    <row r="66" spans="2:20" s="254" customFormat="1" ht="15.6" x14ac:dyDescent="0.3">
      <c r="B66" s="359" t="s">
        <v>218</v>
      </c>
      <c r="C66" s="360"/>
      <c r="D66" s="360"/>
      <c r="E66" s="360"/>
      <c r="F66" s="360"/>
      <c r="G66" s="360"/>
      <c r="H66" s="360"/>
      <c r="I66" s="360"/>
      <c r="J66" s="360"/>
      <c r="K66" s="360"/>
      <c r="L66" s="361"/>
      <c r="M66" s="255"/>
      <c r="N66" s="255"/>
      <c r="O66" s="255"/>
      <c r="P66" s="255"/>
      <c r="Q66" s="255"/>
      <c r="R66" s="255"/>
      <c r="S66" s="255"/>
      <c r="T66" s="255"/>
    </row>
    <row r="67" spans="2:20" s="254" customFormat="1" x14ac:dyDescent="0.3">
      <c r="B67" s="363" t="s">
        <v>219</v>
      </c>
      <c r="C67" s="364" t="s">
        <v>193</v>
      </c>
      <c r="D67" s="364"/>
      <c r="E67" s="366" t="s">
        <v>203</v>
      </c>
      <c r="F67" s="367" t="s">
        <v>220</v>
      </c>
      <c r="G67" s="368"/>
      <c r="H67" s="347"/>
      <c r="I67" s="367" t="s">
        <v>221</v>
      </c>
      <c r="J67" s="368"/>
      <c r="K67" s="367" t="s">
        <v>255</v>
      </c>
      <c r="L67" s="368"/>
      <c r="M67" s="258"/>
      <c r="N67" s="255"/>
      <c r="O67" s="255"/>
      <c r="P67" s="255"/>
      <c r="Q67" s="255"/>
      <c r="R67" s="255"/>
      <c r="S67" s="255"/>
      <c r="T67" s="255"/>
    </row>
    <row r="68" spans="2:20" s="254" customFormat="1" x14ac:dyDescent="0.3">
      <c r="B68" s="365" t="s">
        <v>222</v>
      </c>
      <c r="C68" s="348">
        <v>50</v>
      </c>
      <c r="D68" s="348" t="s">
        <v>206</v>
      </c>
      <c r="E68" s="378" t="s">
        <v>223</v>
      </c>
      <c r="F68" s="379" t="s">
        <v>224</v>
      </c>
      <c r="G68" s="380"/>
      <c r="H68" s="348"/>
      <c r="I68" s="379">
        <v>30</v>
      </c>
      <c r="J68" s="380"/>
      <c r="K68" s="379">
        <v>21916.23</v>
      </c>
      <c r="L68" s="380"/>
      <c r="M68" s="255"/>
      <c r="N68" s="255"/>
      <c r="O68" s="255" t="s">
        <v>235</v>
      </c>
      <c r="P68" s="255"/>
      <c r="Q68" s="255"/>
      <c r="R68" s="255"/>
      <c r="S68" s="255"/>
      <c r="T68" s="255"/>
    </row>
    <row r="69" spans="2:20" s="254" customFormat="1" x14ac:dyDescent="0.3">
      <c r="B69" s="365"/>
      <c r="C69" s="348">
        <v>100</v>
      </c>
      <c r="D69" s="348" t="s">
        <v>206</v>
      </c>
      <c r="E69" s="378" t="s">
        <v>223</v>
      </c>
      <c r="F69" s="379" t="s">
        <v>224</v>
      </c>
      <c r="G69" s="380"/>
      <c r="H69" s="348"/>
      <c r="I69" s="379">
        <v>60</v>
      </c>
      <c r="J69" s="380"/>
      <c r="K69" s="379">
        <v>87664.95</v>
      </c>
      <c r="L69" s="380"/>
      <c r="M69" s="255"/>
      <c r="N69" s="255"/>
      <c r="O69" s="255"/>
      <c r="P69" s="255"/>
      <c r="Q69" s="255"/>
      <c r="R69" s="255"/>
      <c r="S69" s="255"/>
      <c r="T69" s="255"/>
    </row>
    <row r="70" spans="2:20" ht="22.2" customHeight="1" x14ac:dyDescent="0.3">
      <c r="B70" s="381"/>
      <c r="C70" s="382"/>
      <c r="D70" s="382"/>
      <c r="E70" s="382"/>
      <c r="F70" s="382"/>
      <c r="G70" s="382"/>
      <c r="H70" s="382"/>
      <c r="I70" s="382"/>
      <c r="J70" s="382"/>
      <c r="K70" s="382"/>
      <c r="L70" s="383"/>
      <c r="M70" s="255"/>
      <c r="N70" s="254"/>
      <c r="O70" s="254"/>
      <c r="P70" s="254"/>
      <c r="Q70" s="254"/>
    </row>
    <row r="71" spans="2:20" ht="22.2" customHeight="1" x14ac:dyDescent="0.3">
      <c r="B71" s="365" t="s">
        <v>199</v>
      </c>
      <c r="C71" s="348">
        <v>25</v>
      </c>
      <c r="D71" s="348" t="s">
        <v>206</v>
      </c>
      <c r="E71" s="378" t="s">
        <v>225</v>
      </c>
      <c r="F71" s="379" t="s">
        <v>226</v>
      </c>
      <c r="G71" s="380"/>
      <c r="H71" s="348"/>
      <c r="I71" s="379">
        <v>1</v>
      </c>
      <c r="J71" s="380"/>
      <c r="K71" s="379">
        <v>368.34</v>
      </c>
      <c r="L71" s="380"/>
      <c r="M71" s="255"/>
      <c r="N71" s="254"/>
      <c r="O71" s="254"/>
      <c r="P71" s="254"/>
      <c r="Q71" s="254"/>
    </row>
    <row r="72" spans="2:20" ht="22.2" customHeight="1" x14ac:dyDescent="0.3">
      <c r="B72" s="365"/>
      <c r="C72" s="348">
        <v>100</v>
      </c>
      <c r="D72" s="348" t="s">
        <v>206</v>
      </c>
      <c r="E72" s="378" t="s">
        <v>225</v>
      </c>
      <c r="F72" s="379" t="s">
        <v>226</v>
      </c>
      <c r="G72" s="380"/>
      <c r="H72" s="348"/>
      <c r="I72" s="379">
        <v>1</v>
      </c>
      <c r="J72" s="380"/>
      <c r="K72" s="379">
        <v>1376.06</v>
      </c>
      <c r="L72" s="380"/>
      <c r="M72" s="255"/>
      <c r="N72" s="254"/>
      <c r="O72" s="254"/>
      <c r="P72" s="254"/>
      <c r="Q72" s="254"/>
    </row>
    <row r="73" spans="2:20" ht="22.2" customHeight="1" x14ac:dyDescent="0.3">
      <c r="B73" s="365"/>
      <c r="C73" s="348"/>
      <c r="D73" s="348"/>
      <c r="E73" s="378"/>
      <c r="F73" s="348"/>
      <c r="G73" s="348"/>
      <c r="H73" s="348"/>
      <c r="I73" s="348"/>
      <c r="J73" s="348"/>
      <c r="K73" s="348"/>
      <c r="L73" s="348"/>
      <c r="M73" s="255"/>
      <c r="N73" s="254"/>
      <c r="O73" s="254"/>
      <c r="P73" s="254"/>
      <c r="Q73" s="254"/>
    </row>
    <row r="74" spans="2:20" ht="22.2" customHeight="1" x14ac:dyDescent="0.3">
      <c r="B74" s="365" t="s">
        <v>200</v>
      </c>
      <c r="C74" s="348">
        <v>3.5</v>
      </c>
      <c r="D74" s="348" t="s">
        <v>206</v>
      </c>
      <c r="E74" s="378" t="s">
        <v>225</v>
      </c>
      <c r="F74" s="379" t="s">
        <v>226</v>
      </c>
      <c r="G74" s="380"/>
      <c r="H74" s="348"/>
      <c r="I74" s="379">
        <v>1</v>
      </c>
      <c r="J74" s="380"/>
      <c r="K74" s="379">
        <v>4449.45</v>
      </c>
      <c r="L74" s="380"/>
      <c r="M74" s="255"/>
      <c r="N74" s="254"/>
      <c r="O74" s="254"/>
      <c r="P74" s="254"/>
      <c r="Q74" s="254"/>
    </row>
    <row r="75" spans="2:20" ht="22.2" customHeight="1" x14ac:dyDescent="0.3">
      <c r="B75" s="365"/>
      <c r="C75" s="348"/>
      <c r="D75" s="348"/>
      <c r="E75" s="378"/>
      <c r="F75" s="348"/>
      <c r="G75" s="348"/>
      <c r="H75" s="348"/>
      <c r="I75" s="348"/>
      <c r="J75" s="348"/>
      <c r="K75" s="348"/>
      <c r="L75" s="348"/>
      <c r="M75" s="255"/>
      <c r="N75" s="254"/>
      <c r="O75" s="254"/>
      <c r="P75" s="254"/>
      <c r="Q75" s="254"/>
    </row>
    <row r="76" spans="2:20" ht="22.2" customHeight="1" x14ac:dyDescent="0.3">
      <c r="B76" s="365" t="s">
        <v>201</v>
      </c>
      <c r="C76" s="348">
        <v>200</v>
      </c>
      <c r="D76" s="348" t="s">
        <v>206</v>
      </c>
      <c r="E76" s="378" t="s">
        <v>225</v>
      </c>
      <c r="F76" s="379" t="s">
        <v>226</v>
      </c>
      <c r="G76" s="380"/>
      <c r="H76" s="348"/>
      <c r="I76" s="379">
        <v>1</v>
      </c>
      <c r="J76" s="380"/>
      <c r="K76" s="379">
        <v>19.510000000000002</v>
      </c>
      <c r="L76" s="380"/>
      <c r="M76" s="255"/>
      <c r="N76" s="254"/>
      <c r="O76" s="254"/>
      <c r="P76" s="254"/>
      <c r="Q76" s="254"/>
    </row>
    <row r="77" spans="2:20" ht="22.2" customHeight="1" x14ac:dyDescent="0.3">
      <c r="B77" s="365"/>
      <c r="C77" s="348">
        <v>1000</v>
      </c>
      <c r="D77" s="348" t="s">
        <v>206</v>
      </c>
      <c r="E77" s="378" t="s">
        <v>225</v>
      </c>
      <c r="F77" s="379" t="s">
        <v>226</v>
      </c>
      <c r="G77" s="380"/>
      <c r="H77" s="348"/>
      <c r="I77" s="379">
        <v>1</v>
      </c>
      <c r="J77" s="380"/>
      <c r="K77" s="379">
        <v>72.48</v>
      </c>
      <c r="L77" s="380"/>
      <c r="M77" s="255"/>
      <c r="N77" s="254"/>
      <c r="O77" s="254"/>
      <c r="P77" s="254"/>
      <c r="Q77" s="254"/>
    </row>
    <row r="78" spans="2:20" ht="22.2" customHeight="1" x14ac:dyDescent="0.3">
      <c r="B78" s="365"/>
      <c r="C78" s="348"/>
      <c r="D78" s="348"/>
      <c r="E78" s="378"/>
      <c r="F78" s="348"/>
      <c r="G78" s="348"/>
      <c r="H78" s="348"/>
      <c r="I78" s="348"/>
      <c r="J78" s="348"/>
      <c r="K78" s="348"/>
      <c r="L78" s="348"/>
      <c r="M78" s="255"/>
      <c r="N78" s="254"/>
      <c r="O78" s="254"/>
      <c r="P78" s="254"/>
      <c r="Q78" s="254"/>
    </row>
    <row r="79" spans="2:20" ht="22.2" customHeight="1" x14ac:dyDescent="0.3">
      <c r="B79" s="365" t="s">
        <v>196</v>
      </c>
      <c r="C79" s="348">
        <v>100</v>
      </c>
      <c r="D79" s="348" t="s">
        <v>206</v>
      </c>
      <c r="E79" s="378" t="s">
        <v>225</v>
      </c>
      <c r="F79" s="379" t="s">
        <v>226</v>
      </c>
      <c r="G79" s="380"/>
      <c r="H79" s="348"/>
      <c r="I79" s="379">
        <v>1</v>
      </c>
      <c r="J79" s="380"/>
      <c r="K79" s="379">
        <v>13.43</v>
      </c>
      <c r="L79" s="380"/>
      <c r="M79" s="255"/>
      <c r="N79" s="254"/>
      <c r="O79" s="254"/>
      <c r="P79" s="254"/>
      <c r="Q79" s="254"/>
    </row>
    <row r="80" spans="2:20" ht="22.2" customHeight="1" x14ac:dyDescent="0.3">
      <c r="B80" s="365"/>
      <c r="C80" s="348">
        <v>1000</v>
      </c>
      <c r="D80" s="348" t="s">
        <v>206</v>
      </c>
      <c r="E80" s="378" t="s">
        <v>225</v>
      </c>
      <c r="F80" s="379" t="s">
        <v>226</v>
      </c>
      <c r="G80" s="380"/>
      <c r="H80" s="348"/>
      <c r="I80" s="379">
        <v>1</v>
      </c>
      <c r="J80" s="380"/>
      <c r="K80" s="379">
        <v>149.88</v>
      </c>
      <c r="L80" s="380"/>
      <c r="M80" s="255"/>
      <c r="N80" s="254"/>
      <c r="O80" s="254"/>
      <c r="P80" s="254"/>
      <c r="Q80" s="254"/>
    </row>
    <row r="81" spans="2:17" ht="22.2" customHeight="1" x14ac:dyDescent="0.3">
      <c r="B81" s="365"/>
      <c r="C81" s="348"/>
      <c r="D81" s="348"/>
      <c r="E81" s="378"/>
      <c r="F81" s="348"/>
      <c r="G81" s="348"/>
      <c r="H81" s="348"/>
      <c r="I81" s="348"/>
      <c r="J81" s="348"/>
      <c r="K81" s="348"/>
      <c r="L81" s="348"/>
      <c r="M81" s="255"/>
      <c r="N81" s="254"/>
      <c r="O81" s="254"/>
      <c r="P81" s="254"/>
      <c r="Q81" s="254"/>
    </row>
    <row r="82" spans="2:17" ht="22.2" customHeight="1" x14ac:dyDescent="0.3">
      <c r="B82" s="365" t="s">
        <v>197</v>
      </c>
      <c r="C82" s="348">
        <v>10</v>
      </c>
      <c r="D82" s="348" t="s">
        <v>206</v>
      </c>
      <c r="E82" s="378" t="s">
        <v>225</v>
      </c>
      <c r="F82" s="379" t="s">
        <v>226</v>
      </c>
      <c r="G82" s="380"/>
      <c r="H82" s="348"/>
      <c r="I82" s="379">
        <v>1</v>
      </c>
      <c r="J82" s="380"/>
      <c r="K82" s="379">
        <v>108.61</v>
      </c>
      <c r="L82" s="380"/>
      <c r="M82" s="255"/>
      <c r="N82" s="254"/>
      <c r="O82" s="254"/>
      <c r="P82" s="254"/>
      <c r="Q82" s="254"/>
    </row>
    <row r="83" spans="2:17" ht="22.2" customHeight="1" x14ac:dyDescent="0.3">
      <c r="B83" s="365"/>
      <c r="C83" s="348">
        <v>50</v>
      </c>
      <c r="D83" s="348" t="s">
        <v>206</v>
      </c>
      <c r="E83" s="378" t="s">
        <v>225</v>
      </c>
      <c r="F83" s="379" t="s">
        <v>226</v>
      </c>
      <c r="G83" s="380"/>
      <c r="H83" s="348"/>
      <c r="I83" s="379">
        <v>1</v>
      </c>
      <c r="J83" s="380"/>
      <c r="K83" s="379">
        <v>244.37</v>
      </c>
      <c r="L83" s="380"/>
      <c r="M83" s="255"/>
      <c r="N83" s="254"/>
      <c r="O83" s="254"/>
      <c r="P83" s="254"/>
      <c r="Q83" s="254"/>
    </row>
    <row r="84" spans="2:17" ht="22.2" customHeight="1" x14ac:dyDescent="0.3">
      <c r="B84" s="365"/>
      <c r="C84" s="348"/>
      <c r="D84" s="348"/>
      <c r="E84" s="378"/>
      <c r="F84" s="348"/>
      <c r="G84" s="348"/>
      <c r="H84" s="348"/>
      <c r="I84" s="348"/>
      <c r="J84" s="348"/>
      <c r="K84" s="348"/>
      <c r="L84" s="348"/>
      <c r="M84" s="255"/>
      <c r="N84" s="254"/>
      <c r="O84" s="254"/>
      <c r="P84" s="254"/>
      <c r="Q84" s="254"/>
    </row>
    <row r="85" spans="2:17" x14ac:dyDescent="0.3">
      <c r="B85" s="365" t="s">
        <v>202</v>
      </c>
      <c r="C85" s="348">
        <v>100</v>
      </c>
      <c r="D85" s="348" t="s">
        <v>206</v>
      </c>
      <c r="E85" s="378" t="s">
        <v>225</v>
      </c>
      <c r="F85" s="379" t="s">
        <v>226</v>
      </c>
      <c r="G85" s="380"/>
      <c r="H85" s="348"/>
      <c r="I85" s="379">
        <v>1</v>
      </c>
      <c r="J85" s="380"/>
      <c r="K85" s="379">
        <v>1747.9</v>
      </c>
      <c r="L85" s="380"/>
      <c r="M85" s="255"/>
      <c r="N85" s="254"/>
      <c r="O85" s="254"/>
      <c r="P85" s="254"/>
      <c r="Q85" s="254"/>
    </row>
    <row r="86" spans="2:17" x14ac:dyDescent="0.3">
      <c r="B86" s="365"/>
      <c r="C86" s="348">
        <v>500</v>
      </c>
      <c r="D86" s="348" t="s">
        <v>206</v>
      </c>
      <c r="E86" s="378" t="s">
        <v>225</v>
      </c>
      <c r="F86" s="379" t="s">
        <v>226</v>
      </c>
      <c r="G86" s="380"/>
      <c r="H86" s="348"/>
      <c r="I86" s="379">
        <v>1</v>
      </c>
      <c r="J86" s="380"/>
      <c r="K86" s="379">
        <v>10568.45</v>
      </c>
      <c r="L86" s="380"/>
      <c r="M86" s="255"/>
      <c r="N86" s="254"/>
      <c r="O86" s="254"/>
      <c r="P86" s="254"/>
      <c r="Q86" s="254"/>
    </row>
    <row r="87" spans="2:17" x14ac:dyDescent="0.3">
      <c r="B87" s="365"/>
      <c r="C87" s="348"/>
      <c r="D87" s="348"/>
      <c r="E87" s="378"/>
      <c r="F87" s="348"/>
      <c r="G87" s="348"/>
      <c r="H87" s="348"/>
      <c r="I87" s="348"/>
      <c r="J87" s="348"/>
      <c r="K87" s="348"/>
      <c r="L87" s="348"/>
      <c r="M87" s="255"/>
      <c r="N87" s="254"/>
      <c r="O87" s="254"/>
      <c r="P87" s="254"/>
      <c r="Q87" s="254"/>
    </row>
    <row r="88" spans="2:17" x14ac:dyDescent="0.3">
      <c r="B88" s="365" t="s">
        <v>198</v>
      </c>
      <c r="C88" s="348">
        <v>1</v>
      </c>
      <c r="D88" s="348" t="s">
        <v>206</v>
      </c>
      <c r="E88" s="378" t="s">
        <v>225</v>
      </c>
      <c r="F88" s="379" t="s">
        <v>226</v>
      </c>
      <c r="G88" s="380"/>
      <c r="H88" s="348"/>
      <c r="I88" s="379">
        <v>1</v>
      </c>
      <c r="J88" s="380"/>
      <c r="K88" s="379">
        <v>33.18</v>
      </c>
      <c r="L88" s="380"/>
      <c r="M88" s="255"/>
      <c r="N88" s="222"/>
      <c r="O88" s="222"/>
      <c r="P88" s="222"/>
      <c r="Q88" s="223"/>
    </row>
    <row r="89" spans="2:17" x14ac:dyDescent="0.3">
      <c r="D89" s="221"/>
      <c r="E89" s="331"/>
      <c r="F89" s="331"/>
      <c r="G89" s="331"/>
      <c r="H89" s="331"/>
      <c r="I89" s="331"/>
      <c r="J89" s="331"/>
      <c r="K89" s="331"/>
      <c r="L89" s="331"/>
      <c r="M89" s="331"/>
      <c r="N89" s="331"/>
      <c r="O89" s="331"/>
      <c r="P89" s="331"/>
      <c r="Q89" s="223"/>
    </row>
    <row r="90" spans="2:17" ht="16.5" customHeight="1" x14ac:dyDescent="0.3">
      <c r="D90" s="221"/>
      <c r="E90" s="331"/>
      <c r="F90" s="331"/>
      <c r="G90" s="331"/>
      <c r="H90" s="331"/>
      <c r="I90" s="331"/>
      <c r="J90" s="331"/>
      <c r="K90" s="331"/>
      <c r="L90" s="331"/>
      <c r="M90" s="331"/>
      <c r="N90" s="331"/>
      <c r="O90" s="331"/>
      <c r="P90" s="331"/>
      <c r="Q90" s="223"/>
    </row>
    <row r="91" spans="2:17" ht="16.5" customHeight="1" x14ac:dyDescent="0.3">
      <c r="D91" s="221"/>
      <c r="E91" s="331"/>
      <c r="F91" s="331"/>
      <c r="G91" s="331"/>
      <c r="H91" s="331"/>
      <c r="I91" s="331"/>
      <c r="J91" s="331"/>
      <c r="K91" s="331"/>
      <c r="L91" s="331"/>
      <c r="M91" s="331"/>
      <c r="N91" s="331"/>
      <c r="O91" s="331"/>
      <c r="P91" s="331"/>
      <c r="Q91" s="223"/>
    </row>
    <row r="92" spans="2:17" ht="16.5" customHeight="1" x14ac:dyDescent="0.3">
      <c r="D92" s="221"/>
      <c r="E92" s="331"/>
      <c r="F92" s="331"/>
      <c r="G92" s="331"/>
      <c r="H92" s="331"/>
      <c r="I92" s="331"/>
      <c r="J92" s="331"/>
      <c r="K92" s="331"/>
      <c r="L92" s="331"/>
      <c r="M92" s="331"/>
      <c r="N92" s="331"/>
      <c r="O92" s="331"/>
      <c r="P92" s="331"/>
      <c r="Q92" s="223"/>
    </row>
    <row r="93" spans="2:17" ht="16.5" customHeight="1" x14ac:dyDescent="0.3">
      <c r="D93" s="221"/>
      <c r="E93" s="331"/>
      <c r="F93" s="331"/>
      <c r="G93" s="331"/>
      <c r="H93" s="331"/>
      <c r="I93" s="331"/>
      <c r="J93" s="331"/>
      <c r="K93" s="331"/>
      <c r="L93" s="331"/>
      <c r="M93" s="331"/>
      <c r="N93" s="331"/>
      <c r="O93" s="331"/>
      <c r="P93" s="331"/>
      <c r="Q93" s="223"/>
    </row>
    <row r="94" spans="2:17" ht="16.5" customHeight="1" x14ac:dyDescent="0.3">
      <c r="D94" s="7"/>
      <c r="E94" s="387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9"/>
    </row>
    <row r="95" spans="2:17" ht="16.5" customHeight="1" x14ac:dyDescent="0.3"/>
    <row r="96" spans="2:17" ht="16.5" customHeight="1" x14ac:dyDescent="0.3"/>
    <row r="97" ht="16.5" customHeight="1" x14ac:dyDescent="0.3"/>
    <row r="98" ht="16.5" customHeight="1" x14ac:dyDescent="0.3"/>
    <row r="99" ht="16.5" customHeight="1" x14ac:dyDescent="0.3"/>
    <row r="100" ht="16.5" customHeight="1" x14ac:dyDescent="0.3"/>
    <row r="224" spans="14:15" x14ac:dyDescent="0.3">
      <c r="N224" s="110"/>
      <c r="O224" s="110">
        <v>2</v>
      </c>
    </row>
    <row r="225" spans="14:15" x14ac:dyDescent="0.3">
      <c r="N225" s="110"/>
      <c r="O225" s="110" t="str">
        <f>IF(O224&gt;controle_formulario!$C$10,"Ocultar","")</f>
        <v>Ocultar</v>
      </c>
    </row>
  </sheetData>
  <mergeCells count="69">
    <mergeCell ref="I79:J79"/>
    <mergeCell ref="I80:J80"/>
    <mergeCell ref="I82:J82"/>
    <mergeCell ref="I83:J83"/>
    <mergeCell ref="I85:J85"/>
    <mergeCell ref="I71:J71"/>
    <mergeCell ref="I72:J72"/>
    <mergeCell ref="I74:J74"/>
    <mergeCell ref="I76:J76"/>
    <mergeCell ref="I77:J77"/>
    <mergeCell ref="F83:G83"/>
    <mergeCell ref="F85:G85"/>
    <mergeCell ref="F86:G86"/>
    <mergeCell ref="F88:G88"/>
    <mergeCell ref="K85:L85"/>
    <mergeCell ref="K86:L86"/>
    <mergeCell ref="K88:L88"/>
    <mergeCell ref="I86:J86"/>
    <mergeCell ref="I88:J88"/>
    <mergeCell ref="K83:L83"/>
    <mergeCell ref="I67:J67"/>
    <mergeCell ref="F68:G68"/>
    <mergeCell ref="F69:G69"/>
    <mergeCell ref="F67:G67"/>
    <mergeCell ref="F71:G71"/>
    <mergeCell ref="F72:G72"/>
    <mergeCell ref="F74:G74"/>
    <mergeCell ref="F76:G76"/>
    <mergeCell ref="I68:J68"/>
    <mergeCell ref="I69:J69"/>
    <mergeCell ref="B70:L70"/>
    <mergeCell ref="F77:G77"/>
    <mergeCell ref="F79:G79"/>
    <mergeCell ref="F82:G82"/>
    <mergeCell ref="F80:G80"/>
    <mergeCell ref="C58:D58"/>
    <mergeCell ref="B66:L66"/>
    <mergeCell ref="O61:O62"/>
    <mergeCell ref="P61:P62"/>
    <mergeCell ref="C67:D67"/>
    <mergeCell ref="C62:D62"/>
    <mergeCell ref="O59:R59"/>
    <mergeCell ref="F61:G61"/>
    <mergeCell ref="F60:G60"/>
    <mergeCell ref="F59:G59"/>
    <mergeCell ref="F62:G62"/>
    <mergeCell ref="F63:G63"/>
    <mergeCell ref="C61:D61"/>
    <mergeCell ref="C63:D63"/>
    <mergeCell ref="C59:D59"/>
    <mergeCell ref="Q61:Q62"/>
    <mergeCell ref="R61:R62"/>
    <mergeCell ref="K67:L67"/>
    <mergeCell ref="E5:P5"/>
    <mergeCell ref="E89:P93"/>
    <mergeCell ref="E36:P40"/>
    <mergeCell ref="S19:Y30"/>
    <mergeCell ref="E45:P45"/>
    <mergeCell ref="F58:G58"/>
    <mergeCell ref="K68:L68"/>
    <mergeCell ref="K69:L69"/>
    <mergeCell ref="K71:L71"/>
    <mergeCell ref="K72:L72"/>
    <mergeCell ref="K74:L74"/>
    <mergeCell ref="K76:L76"/>
    <mergeCell ref="K77:L77"/>
    <mergeCell ref="K79:L79"/>
    <mergeCell ref="K80:L80"/>
    <mergeCell ref="K82:L82"/>
  </mergeCells>
  <dataValidations disablePrompts="1" count="1">
    <dataValidation type="list" allowBlank="1" showInputMessage="1" showErrorMessage="1" sqref="C69 C73" xr:uid="{92A151CE-C1DF-4A61-BD14-06A498BE34A9}">
      <formula1>"Sim, Não"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FFACD-B11F-4766-BD38-F806658DBCF9}">
  <dimension ref="A1:P57"/>
  <sheetViews>
    <sheetView tabSelected="1" topLeftCell="A2" zoomScale="80" zoomScaleNormal="80" workbookViewId="0">
      <selection activeCell="D5" sqref="D5"/>
    </sheetView>
  </sheetViews>
  <sheetFormatPr defaultRowHeight="14.4" x14ac:dyDescent="0.3"/>
  <cols>
    <col min="1" max="1" width="15.6640625" customWidth="1"/>
    <col min="3" max="3" width="24.109375" customWidth="1"/>
    <col min="4" max="4" width="45.5546875" customWidth="1"/>
    <col min="5" max="5" width="23.33203125" customWidth="1"/>
    <col min="6" max="6" width="26.77734375" customWidth="1"/>
    <col min="7" max="7" width="18" customWidth="1"/>
    <col min="8" max="8" width="18.21875" customWidth="1"/>
    <col min="9" max="9" width="16.6640625" customWidth="1"/>
    <col min="10" max="10" width="15.109375" customWidth="1"/>
    <col min="11" max="11" width="20.5546875" customWidth="1"/>
  </cols>
  <sheetData>
    <row r="1" spans="2:11" ht="26.4" customHeight="1" x14ac:dyDescent="0.3">
      <c r="D1" s="231"/>
    </row>
    <row r="2" spans="2:11" ht="32.4" customHeight="1" x14ac:dyDescent="0.3">
      <c r="D2" t="s">
        <v>254</v>
      </c>
    </row>
    <row r="3" spans="2:11" ht="43.2" customHeight="1" x14ac:dyDescent="0.3"/>
    <row r="4" spans="2:11" ht="36" customHeight="1" x14ac:dyDescent="0.3">
      <c r="B4" s="285" t="s">
        <v>183</v>
      </c>
      <c r="C4" s="235" t="s">
        <v>185</v>
      </c>
      <c r="D4" s="235" t="s">
        <v>199</v>
      </c>
      <c r="E4" s="284" t="s">
        <v>200</v>
      </c>
      <c r="F4" s="284" t="s">
        <v>201</v>
      </c>
      <c r="G4" s="284" t="s">
        <v>196</v>
      </c>
      <c r="H4" s="284" t="s">
        <v>197</v>
      </c>
      <c r="I4" s="284" t="s">
        <v>202</v>
      </c>
      <c r="J4" s="284" t="s">
        <v>198</v>
      </c>
      <c r="K4" s="283" t="s">
        <v>237</v>
      </c>
    </row>
    <row r="5" spans="2:11" x14ac:dyDescent="0.3">
      <c r="B5" s="286"/>
      <c r="C5" s="240">
        <f t="shared" ref="C5:H5" si="0">SUM(C6:C28)</f>
        <v>470468.67999999976</v>
      </c>
      <c r="D5" s="276">
        <f t="shared" si="0"/>
        <v>8132.0461119999982</v>
      </c>
      <c r="E5" s="244">
        <f t="shared" si="0"/>
        <v>65947.84212479998</v>
      </c>
      <c r="F5" s="245">
        <f t="shared" si="0"/>
        <v>1695.5092320000001</v>
      </c>
      <c r="G5" s="245">
        <f t="shared" si="0"/>
        <v>911.65640400000007</v>
      </c>
      <c r="H5" s="245">
        <f t="shared" si="0"/>
        <v>1284.5734934400004</v>
      </c>
      <c r="I5" s="245">
        <f t="shared" ref="I5:J5" si="1">SUM(I6:I28)</f>
        <v>48160.627415999996</v>
      </c>
      <c r="J5" s="245">
        <f t="shared" si="1"/>
        <v>1082.6330918399999</v>
      </c>
      <c r="K5" s="265">
        <f>SUM(D5:J5)</f>
        <v>127214.88787407997</v>
      </c>
    </row>
    <row r="6" spans="2:11" x14ac:dyDescent="0.3">
      <c r="B6" s="225">
        <v>1</v>
      </c>
      <c r="C6" s="229">
        <v>20455.16</v>
      </c>
      <c r="D6" s="266">
        <f>'Planilha auxiliar custos'!R48</f>
        <v>1016.5057639999999</v>
      </c>
      <c r="E6" s="234">
        <f>'Planilha auxiliar custos'!R49*2</f>
        <v>4121.7401327999996</v>
      </c>
      <c r="F6" s="243">
        <f>'Planilha auxiliar custos'!R50</f>
        <v>211.93865399999999</v>
      </c>
      <c r="G6" s="239"/>
      <c r="H6" s="243">
        <f>'Planilha auxiliar custos'!R52</f>
        <v>160.57168668000003</v>
      </c>
      <c r="I6" s="243">
        <f>'Planilha auxiliar custos'!R53</f>
        <v>6020.0784269999995</v>
      </c>
      <c r="J6" s="243">
        <f>'Planilha auxiliar custos'!R54</f>
        <v>135.32913647999999</v>
      </c>
    </row>
    <row r="7" spans="2:11" x14ac:dyDescent="0.3">
      <c r="B7" s="225">
        <v>2</v>
      </c>
      <c r="C7" s="229">
        <v>20455.16</v>
      </c>
      <c r="D7" s="266"/>
      <c r="E7" s="234">
        <f>E6</f>
        <v>4121.7401327999996</v>
      </c>
      <c r="F7" s="243"/>
      <c r="G7" s="239"/>
      <c r="H7" s="239"/>
      <c r="I7" s="239"/>
      <c r="J7" s="239"/>
    </row>
    <row r="8" spans="2:11" x14ac:dyDescent="0.3">
      <c r="B8" s="225">
        <v>3</v>
      </c>
      <c r="C8" s="229">
        <f>C7</f>
        <v>20455.16</v>
      </c>
      <c r="D8" s="266"/>
      <c r="E8" s="234"/>
      <c r="F8" s="243"/>
      <c r="G8" s="239"/>
      <c r="H8" s="239"/>
      <c r="I8" s="239"/>
      <c r="J8" s="239"/>
    </row>
    <row r="9" spans="2:11" x14ac:dyDescent="0.3">
      <c r="B9" s="225">
        <v>4</v>
      </c>
      <c r="C9" s="229">
        <f>C7</f>
        <v>20455.16</v>
      </c>
      <c r="D9" s="266">
        <f>D6</f>
        <v>1016.5057639999999</v>
      </c>
      <c r="E9" s="234">
        <f>E6</f>
        <v>4121.7401327999996</v>
      </c>
      <c r="F9" s="243">
        <f>F6</f>
        <v>211.93865399999999</v>
      </c>
      <c r="G9" s="243">
        <f>'Planilha auxiliar custos'!R51*2</f>
        <v>182.3312808</v>
      </c>
      <c r="H9" s="243">
        <f>H6</f>
        <v>160.57168668000003</v>
      </c>
      <c r="I9" s="243">
        <f>I6</f>
        <v>6020.0784269999995</v>
      </c>
      <c r="J9" s="243">
        <f>J6</f>
        <v>135.32913647999999</v>
      </c>
    </row>
    <row r="10" spans="2:11" x14ac:dyDescent="0.3">
      <c r="B10" s="225">
        <v>5</v>
      </c>
      <c r="C10" s="229">
        <f>C7</f>
        <v>20455.16</v>
      </c>
      <c r="D10" s="266"/>
      <c r="E10" s="234">
        <f>E6</f>
        <v>4121.7401327999996</v>
      </c>
      <c r="F10" s="243"/>
      <c r="G10" s="239"/>
      <c r="H10" s="239"/>
      <c r="I10" s="239"/>
      <c r="J10" s="239"/>
    </row>
    <row r="11" spans="2:11" x14ac:dyDescent="0.3">
      <c r="B11" s="225">
        <v>6</v>
      </c>
      <c r="C11" s="229">
        <f>C7</f>
        <v>20455.16</v>
      </c>
      <c r="D11" s="266"/>
      <c r="E11" s="234"/>
      <c r="F11" s="243"/>
      <c r="G11" s="239"/>
      <c r="H11" s="239"/>
      <c r="I11" s="239"/>
      <c r="J11" s="239"/>
    </row>
    <row r="12" spans="2:11" x14ac:dyDescent="0.3">
      <c r="B12" s="225">
        <v>7</v>
      </c>
      <c r="C12" s="229">
        <f>C7</f>
        <v>20455.16</v>
      </c>
      <c r="D12" s="266">
        <f>D6</f>
        <v>1016.5057639999999</v>
      </c>
      <c r="E12" s="234">
        <f>E6</f>
        <v>4121.7401327999996</v>
      </c>
      <c r="F12" s="243">
        <f>F6</f>
        <v>211.93865399999999</v>
      </c>
      <c r="G12" s="239"/>
      <c r="H12" s="243">
        <f>H6</f>
        <v>160.57168668000003</v>
      </c>
      <c r="I12" s="243">
        <f>I6</f>
        <v>6020.0784269999995</v>
      </c>
      <c r="J12" s="243">
        <f>J6</f>
        <v>135.32913647999999</v>
      </c>
    </row>
    <row r="13" spans="2:11" x14ac:dyDescent="0.3">
      <c r="B13" s="225">
        <v>8</v>
      </c>
      <c r="C13" s="229">
        <f>C7</f>
        <v>20455.16</v>
      </c>
      <c r="D13" s="266"/>
      <c r="E13" s="234">
        <f>E6</f>
        <v>4121.7401327999996</v>
      </c>
      <c r="F13" s="243"/>
      <c r="G13" s="243">
        <f>G9</f>
        <v>182.3312808</v>
      </c>
      <c r="H13" s="239"/>
      <c r="I13" s="239"/>
      <c r="J13" s="239"/>
    </row>
    <row r="14" spans="2:11" x14ac:dyDescent="0.3">
      <c r="B14" s="225">
        <v>9</v>
      </c>
      <c r="C14" s="229">
        <f>C7</f>
        <v>20455.16</v>
      </c>
      <c r="D14" s="266"/>
      <c r="E14" s="234"/>
      <c r="F14" s="243"/>
      <c r="G14" s="239"/>
      <c r="H14" s="239"/>
      <c r="I14" s="239"/>
      <c r="J14" s="239"/>
    </row>
    <row r="15" spans="2:11" x14ac:dyDescent="0.3">
      <c r="B15" s="225">
        <v>10</v>
      </c>
      <c r="C15" s="229">
        <f>C7</f>
        <v>20455.16</v>
      </c>
      <c r="D15" s="266">
        <f>D6</f>
        <v>1016.5057639999999</v>
      </c>
      <c r="E15" s="234">
        <f>E6</f>
        <v>4121.7401327999996</v>
      </c>
      <c r="F15" s="243">
        <f>F6</f>
        <v>211.93865399999999</v>
      </c>
      <c r="G15" s="239"/>
      <c r="H15" s="243">
        <f>H6</f>
        <v>160.57168668000003</v>
      </c>
      <c r="I15" s="243">
        <f>I6</f>
        <v>6020.0784269999995</v>
      </c>
      <c r="J15" s="243">
        <f>J6</f>
        <v>135.32913647999999</v>
      </c>
    </row>
    <row r="16" spans="2:11" x14ac:dyDescent="0.3">
      <c r="B16" s="225">
        <v>11</v>
      </c>
      <c r="C16" s="229">
        <f>C7</f>
        <v>20455.16</v>
      </c>
      <c r="D16" s="266"/>
      <c r="E16" s="234">
        <f>E6</f>
        <v>4121.7401327999996</v>
      </c>
      <c r="F16" s="243"/>
      <c r="G16" s="239"/>
      <c r="H16" s="239"/>
      <c r="I16" s="239"/>
      <c r="J16" s="239"/>
    </row>
    <row r="17" spans="1:16" x14ac:dyDescent="0.3">
      <c r="A17" s="1"/>
      <c r="B17" s="225">
        <v>12</v>
      </c>
      <c r="C17" s="229">
        <f>C7</f>
        <v>20455.16</v>
      </c>
      <c r="D17" s="266"/>
      <c r="E17" s="234"/>
      <c r="F17" s="243"/>
      <c r="G17" s="243">
        <f>G9</f>
        <v>182.3312808</v>
      </c>
      <c r="H17" s="239"/>
      <c r="I17" s="239"/>
      <c r="J17" s="239"/>
    </row>
    <row r="18" spans="1:16" x14ac:dyDescent="0.3">
      <c r="B18" s="225">
        <v>13</v>
      </c>
      <c r="C18" s="229">
        <f>C7</f>
        <v>20455.16</v>
      </c>
      <c r="D18" s="266">
        <f>D6</f>
        <v>1016.5057639999999</v>
      </c>
      <c r="E18" s="234">
        <f>E6</f>
        <v>4121.7401327999996</v>
      </c>
      <c r="F18" s="243">
        <f>F6</f>
        <v>211.93865399999999</v>
      </c>
      <c r="G18" s="239"/>
      <c r="H18" s="243">
        <f>H6</f>
        <v>160.57168668000003</v>
      </c>
      <c r="I18" s="243">
        <f>I6</f>
        <v>6020.0784269999995</v>
      </c>
      <c r="J18" s="243">
        <f>J6</f>
        <v>135.32913647999999</v>
      </c>
    </row>
    <row r="19" spans="1:16" x14ac:dyDescent="0.3">
      <c r="B19" s="225">
        <v>14</v>
      </c>
      <c r="C19" s="229">
        <f>C7</f>
        <v>20455.16</v>
      </c>
      <c r="D19" s="266"/>
      <c r="E19" s="234">
        <f>E6</f>
        <v>4121.7401327999996</v>
      </c>
      <c r="F19" s="243"/>
      <c r="G19" s="239"/>
      <c r="H19" s="239"/>
      <c r="I19" s="239"/>
      <c r="J19" s="239"/>
    </row>
    <row r="20" spans="1:16" x14ac:dyDescent="0.3">
      <c r="A20" s="233"/>
      <c r="B20" s="230">
        <v>15</v>
      </c>
      <c r="C20" s="229">
        <f>C7</f>
        <v>20455.16</v>
      </c>
      <c r="D20" s="266"/>
      <c r="E20" s="234"/>
      <c r="F20" s="243"/>
      <c r="G20" s="239"/>
      <c r="H20" s="239"/>
      <c r="I20" s="239"/>
      <c r="J20" s="239"/>
    </row>
    <row r="21" spans="1:16" x14ac:dyDescent="0.3">
      <c r="B21" s="225">
        <v>16</v>
      </c>
      <c r="C21" s="229">
        <f>C7</f>
        <v>20455.16</v>
      </c>
      <c r="D21" s="266">
        <f>D6</f>
        <v>1016.5057639999999</v>
      </c>
      <c r="E21" s="234">
        <f>E6</f>
        <v>4121.7401327999996</v>
      </c>
      <c r="F21" s="243">
        <f>F6</f>
        <v>211.93865399999999</v>
      </c>
      <c r="G21" s="243">
        <f>G9</f>
        <v>182.3312808</v>
      </c>
      <c r="H21" s="243">
        <f>H6</f>
        <v>160.57168668000003</v>
      </c>
      <c r="I21" s="243">
        <f>I6</f>
        <v>6020.0784269999995</v>
      </c>
      <c r="J21" s="243">
        <f>J6</f>
        <v>135.32913647999999</v>
      </c>
      <c r="O21" s="248">
        <v>70</v>
      </c>
      <c r="P21" s="250">
        <v>0.20599999999999999</v>
      </c>
    </row>
    <row r="22" spans="1:16" x14ac:dyDescent="0.3">
      <c r="B22" s="225">
        <v>17</v>
      </c>
      <c r="C22" s="229">
        <f>C7</f>
        <v>20455.16</v>
      </c>
      <c r="D22" s="266"/>
      <c r="E22" s="234">
        <f>E6</f>
        <v>4121.7401327999996</v>
      </c>
      <c r="F22" s="243"/>
      <c r="G22" s="239"/>
      <c r="H22" s="239"/>
      <c r="I22" s="239"/>
      <c r="J22" s="239"/>
      <c r="O22" s="248">
        <v>1.3</v>
      </c>
      <c r="P22" s="250">
        <v>0.14599999999999999</v>
      </c>
    </row>
    <row r="23" spans="1:16" x14ac:dyDescent="0.3">
      <c r="B23" s="225">
        <v>18</v>
      </c>
      <c r="C23" s="229">
        <f>C7</f>
        <v>20455.16</v>
      </c>
      <c r="D23" s="266"/>
      <c r="E23" s="234"/>
      <c r="F23" s="243"/>
      <c r="G23" s="239"/>
      <c r="H23" s="239"/>
      <c r="I23" s="239"/>
      <c r="J23" s="239"/>
      <c r="O23" s="248">
        <v>30</v>
      </c>
      <c r="P23" s="250">
        <v>0.152</v>
      </c>
    </row>
    <row r="24" spans="1:16" x14ac:dyDescent="0.3">
      <c r="A24" s="1"/>
      <c r="B24" s="225">
        <v>19</v>
      </c>
      <c r="C24" s="229">
        <f>C7</f>
        <v>20455.16</v>
      </c>
      <c r="D24" s="266">
        <f>D6</f>
        <v>1016.5057639999999</v>
      </c>
      <c r="E24" s="234">
        <f>E6</f>
        <v>4121.7401327999996</v>
      </c>
      <c r="F24" s="243">
        <f>F6</f>
        <v>211.93865399999999</v>
      </c>
      <c r="G24" s="239"/>
      <c r="H24" s="243">
        <f>H6</f>
        <v>160.57168668000003</v>
      </c>
      <c r="I24" s="243">
        <f>I6</f>
        <v>6020.0784269999995</v>
      </c>
      <c r="J24" s="243">
        <f>J6</f>
        <v>135.32913647999999</v>
      </c>
      <c r="O24" s="248">
        <v>500</v>
      </c>
      <c r="P24" s="250">
        <v>5.7000000000000002E-2</v>
      </c>
    </row>
    <row r="25" spans="1:16" x14ac:dyDescent="0.3">
      <c r="B25" s="225">
        <v>20</v>
      </c>
      <c r="C25" s="229">
        <f>C7</f>
        <v>20455.16</v>
      </c>
      <c r="D25" s="266"/>
      <c r="E25" s="234">
        <f>E6</f>
        <v>4121.7401327999996</v>
      </c>
      <c r="F25" s="243"/>
      <c r="G25" s="243">
        <f>G9</f>
        <v>182.3312808</v>
      </c>
      <c r="H25" s="239"/>
      <c r="I25" s="239"/>
      <c r="J25" s="239"/>
      <c r="O25" s="248">
        <v>45</v>
      </c>
      <c r="P25" s="250">
        <v>0.10100000000000001</v>
      </c>
    </row>
    <row r="26" spans="1:16" x14ac:dyDescent="0.3">
      <c r="B26" s="225">
        <v>21</v>
      </c>
      <c r="C26" s="229">
        <f>C7</f>
        <v>20455.16</v>
      </c>
      <c r="D26" s="266"/>
      <c r="E26" s="234"/>
      <c r="F26" s="243"/>
      <c r="G26" s="239"/>
      <c r="H26" s="239"/>
      <c r="I26" s="239"/>
      <c r="J26" s="239"/>
      <c r="O26" s="248">
        <v>375</v>
      </c>
      <c r="P26" s="250">
        <v>0.627</v>
      </c>
    </row>
    <row r="27" spans="1:16" x14ac:dyDescent="0.3">
      <c r="B27" s="225">
        <v>22</v>
      </c>
      <c r="C27" s="229">
        <f>C7</f>
        <v>20455.16</v>
      </c>
      <c r="D27" s="266">
        <f>D6</f>
        <v>1016.5057639999999</v>
      </c>
      <c r="E27" s="234">
        <f>E6</f>
        <v>4121.7401327999996</v>
      </c>
      <c r="F27" s="243">
        <f>F6</f>
        <v>211.93865399999999</v>
      </c>
      <c r="G27" s="239"/>
      <c r="H27" s="243">
        <f>H6</f>
        <v>160.57168668000003</v>
      </c>
      <c r="I27" s="243">
        <f>I6</f>
        <v>6020.0784269999995</v>
      </c>
      <c r="J27" s="243">
        <f>J6</f>
        <v>135.32913647999999</v>
      </c>
      <c r="O27" s="248">
        <v>1.45</v>
      </c>
      <c r="P27" s="250">
        <v>0.108</v>
      </c>
    </row>
    <row r="28" spans="1:16" x14ac:dyDescent="0.3">
      <c r="B28" s="259">
        <v>23</v>
      </c>
      <c r="C28" s="229">
        <f>C7</f>
        <v>20455.16</v>
      </c>
      <c r="D28" s="266"/>
      <c r="E28" s="234">
        <f>E6</f>
        <v>4121.7401327999996</v>
      </c>
      <c r="F28" s="243"/>
      <c r="G28" s="239"/>
      <c r="H28" s="239"/>
      <c r="I28" s="239"/>
      <c r="J28" s="239"/>
    </row>
    <row r="29" spans="1:16" x14ac:dyDescent="0.3">
      <c r="A29" s="1"/>
      <c r="B29" s="334"/>
      <c r="C29" s="334"/>
      <c r="D29" s="278"/>
      <c r="E29" s="279"/>
      <c r="F29" s="279"/>
      <c r="G29" s="279"/>
      <c r="H29" s="279"/>
      <c r="I29" s="279"/>
      <c r="J29" s="279"/>
    </row>
    <row r="30" spans="1:16" x14ac:dyDescent="0.3">
      <c r="B30" s="260"/>
      <c r="C30" s="261"/>
      <c r="D30" s="262"/>
      <c r="E30" s="40"/>
      <c r="F30" s="263"/>
    </row>
    <row r="31" spans="1:16" x14ac:dyDescent="0.3">
      <c r="B31" s="260"/>
      <c r="C31" s="261"/>
      <c r="D31" s="262"/>
      <c r="E31" s="40"/>
      <c r="F31" s="263"/>
    </row>
    <row r="32" spans="1:16" x14ac:dyDescent="0.3">
      <c r="B32" s="260"/>
      <c r="C32" s="261"/>
      <c r="D32" s="262"/>
      <c r="E32" s="40"/>
      <c r="F32" s="263"/>
    </row>
    <row r="33" spans="2:6" x14ac:dyDescent="0.3">
      <c r="B33" s="260"/>
      <c r="C33" s="261"/>
      <c r="D33" s="262"/>
      <c r="E33" s="40"/>
      <c r="F33" s="263"/>
    </row>
    <row r="34" spans="2:6" x14ac:dyDescent="0.3">
      <c r="B34" s="260"/>
      <c r="C34" s="261"/>
      <c r="D34" s="262"/>
      <c r="E34" s="40"/>
      <c r="F34" s="263"/>
    </row>
    <row r="35" spans="2:6" x14ac:dyDescent="0.3">
      <c r="B35" s="260"/>
      <c r="C35" s="261"/>
      <c r="D35" s="262"/>
      <c r="E35" s="40"/>
      <c r="F35" s="263"/>
    </row>
    <row r="36" spans="2:6" x14ac:dyDescent="0.3">
      <c r="B36" s="260"/>
      <c r="C36" s="261"/>
      <c r="D36" s="262"/>
      <c r="E36" s="40"/>
      <c r="F36" s="263"/>
    </row>
    <row r="37" spans="2:6" x14ac:dyDescent="0.3">
      <c r="B37" s="260"/>
      <c r="C37" s="261"/>
      <c r="D37" s="262"/>
      <c r="E37" s="40"/>
      <c r="F37" s="263"/>
    </row>
    <row r="38" spans="2:6" x14ac:dyDescent="0.3">
      <c r="B38" s="260"/>
      <c r="C38" s="261"/>
      <c r="D38" s="262"/>
      <c r="E38" s="40"/>
      <c r="F38" s="263"/>
    </row>
    <row r="39" spans="2:6" x14ac:dyDescent="0.3">
      <c r="B39" s="260"/>
      <c r="C39" s="261"/>
      <c r="D39" s="262"/>
      <c r="E39" s="40"/>
      <c r="F39" s="263"/>
    </row>
    <row r="40" spans="2:6" x14ac:dyDescent="0.3">
      <c r="B40" s="260"/>
      <c r="C40" s="261"/>
      <c r="D40" s="262"/>
      <c r="E40" s="40"/>
      <c r="F40" s="263"/>
    </row>
    <row r="41" spans="2:6" x14ac:dyDescent="0.3">
      <c r="B41" s="260"/>
      <c r="C41" s="261"/>
      <c r="D41" s="262"/>
      <c r="E41" s="40"/>
      <c r="F41" s="263"/>
    </row>
    <row r="42" spans="2:6" x14ac:dyDescent="0.3">
      <c r="B42" s="260"/>
      <c r="C42" s="261"/>
      <c r="D42" s="262"/>
      <c r="E42" s="40"/>
      <c r="F42" s="263"/>
    </row>
    <row r="43" spans="2:6" x14ac:dyDescent="0.3">
      <c r="B43" s="260"/>
      <c r="C43" s="261"/>
      <c r="D43" s="262"/>
      <c r="E43" s="40"/>
      <c r="F43" s="263"/>
    </row>
    <row r="44" spans="2:6" x14ac:dyDescent="0.3">
      <c r="B44" s="260"/>
      <c r="C44" s="261"/>
      <c r="D44" s="262"/>
      <c r="E44" s="40"/>
      <c r="F44" s="263"/>
    </row>
    <row r="45" spans="2:6" x14ac:dyDescent="0.3">
      <c r="B45" s="260"/>
      <c r="C45" s="261"/>
      <c r="D45" s="262"/>
      <c r="E45" s="40"/>
      <c r="F45" s="263"/>
    </row>
    <row r="46" spans="2:6" x14ac:dyDescent="0.3">
      <c r="B46" s="260"/>
      <c r="C46" s="261"/>
      <c r="D46" s="262"/>
      <c r="E46" s="40"/>
      <c r="F46" s="263"/>
    </row>
    <row r="47" spans="2:6" x14ac:dyDescent="0.3">
      <c r="B47" s="260"/>
      <c r="C47" s="261"/>
      <c r="D47" s="262"/>
      <c r="E47" s="40"/>
      <c r="F47" s="263"/>
    </row>
    <row r="48" spans="2:6" x14ac:dyDescent="0.3">
      <c r="B48" s="260"/>
      <c r="C48" s="261"/>
      <c r="D48" s="262"/>
      <c r="E48" s="40"/>
      <c r="F48" s="263"/>
    </row>
    <row r="49" spans="2:6" x14ac:dyDescent="0.3">
      <c r="B49" s="260"/>
      <c r="C49" s="261"/>
      <c r="D49" s="262"/>
      <c r="E49" s="40"/>
      <c r="F49" s="263"/>
    </row>
    <row r="50" spans="2:6" x14ac:dyDescent="0.3">
      <c r="B50" s="260"/>
      <c r="C50" s="261"/>
      <c r="D50" s="262"/>
      <c r="E50" s="40"/>
      <c r="F50" s="263"/>
    </row>
    <row r="51" spans="2:6" x14ac:dyDescent="0.3">
      <c r="B51" s="260"/>
      <c r="C51" s="261"/>
      <c r="D51" s="262"/>
      <c r="E51" s="40"/>
      <c r="F51" s="263"/>
    </row>
    <row r="52" spans="2:6" x14ac:dyDescent="0.3">
      <c r="B52" s="260"/>
      <c r="C52" s="261"/>
      <c r="D52" s="262"/>
      <c r="E52" s="40"/>
      <c r="F52" s="263"/>
    </row>
    <row r="53" spans="2:6" x14ac:dyDescent="0.3">
      <c r="B53" s="260"/>
      <c r="C53" s="261"/>
      <c r="D53" s="262"/>
      <c r="E53" s="40"/>
      <c r="F53" s="263"/>
    </row>
    <row r="54" spans="2:6" x14ac:dyDescent="0.3">
      <c r="B54" s="260"/>
      <c r="C54" s="261"/>
      <c r="D54" s="262"/>
      <c r="E54" s="40"/>
      <c r="F54" s="263"/>
    </row>
    <row r="55" spans="2:6" x14ac:dyDescent="0.3">
      <c r="B55" s="260"/>
      <c r="C55" s="261"/>
      <c r="D55" s="262"/>
      <c r="E55" s="40"/>
      <c r="F55" s="263"/>
    </row>
    <row r="56" spans="2:6" x14ac:dyDescent="0.3">
      <c r="B56" s="260"/>
      <c r="C56" s="261"/>
      <c r="D56" s="262"/>
      <c r="E56" s="40"/>
      <c r="F56" s="263"/>
    </row>
    <row r="57" spans="2:6" x14ac:dyDescent="0.3">
      <c r="B57" s="260"/>
      <c r="C57" s="261"/>
      <c r="D57" s="262"/>
      <c r="E57" s="40"/>
      <c r="F57" s="263"/>
    </row>
  </sheetData>
  <mergeCells count="1">
    <mergeCell ref="B29:C29"/>
  </mergeCells>
  <pageMargins left="0.511811024" right="0.511811024" top="0.78740157499999996" bottom="0.78740157499999996" header="0.31496062000000002" footer="0.31496062000000002"/>
  <ignoredErrors>
    <ignoredError sqref="G9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a8edfd-dad8-424a-8895-2bba090d051c" xsi:nil="true"/>
    <lcf76f155ced4ddcb4097134ff3c332f xmlns="81d39372-0596-407b-8d3d-07a78b81bb4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2FF1DB93DCC6D428FCFFBDE556AD1A3" ma:contentTypeVersion="17" ma:contentTypeDescription="Crie um novo documento." ma:contentTypeScope="" ma:versionID="c22b8c4523fa55c170b3b16948c7efa8">
  <xsd:schema xmlns:xsd="http://www.w3.org/2001/XMLSchema" xmlns:xs="http://www.w3.org/2001/XMLSchema" xmlns:p="http://schemas.microsoft.com/office/2006/metadata/properties" xmlns:ns2="81d39372-0596-407b-8d3d-07a78b81bb4f" xmlns:ns3="fda8edfd-dad8-424a-8895-2bba090d051c" targetNamespace="http://schemas.microsoft.com/office/2006/metadata/properties" ma:root="true" ma:fieldsID="907351e70f5dd9d38d07f6b64ac7e42f" ns2:_="" ns3:_="">
    <xsd:import namespace="81d39372-0596-407b-8d3d-07a78b81bb4f"/>
    <xsd:import namespace="fda8edfd-dad8-424a-8895-2bba090d05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d39372-0596-407b-8d3d-07a78b81bb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afd22834-720d-4be5-8a17-75eb8688063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a8edfd-dad8-424a-8895-2bba090d05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eb8b91d-090c-43ed-9968-529a6fbd0f7f}" ma:internalName="TaxCatchAll" ma:showField="CatchAllData" ma:web="fda8edfd-dad8-424a-8895-2bba090d05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E6D5CA-64AD-4AC6-B4EE-1F70D08E63AA}">
  <ds:schemaRefs>
    <ds:schemaRef ds:uri="http://schemas.microsoft.com/office/2006/documentManagement/types"/>
    <ds:schemaRef ds:uri="http://purl.org/dc/dcmitype/"/>
    <ds:schemaRef ds:uri="717b64ec-e2c0-40c5-92c7-42048633f093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bf0eec02-07fd-4284-bb0a-8af384fb3fd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20A7522-553F-4EB2-9477-4AA04208027D}"/>
</file>

<file path=customXml/itemProps3.xml><?xml version="1.0" encoding="utf-8"?>
<ds:datastoreItem xmlns:ds="http://schemas.openxmlformats.org/officeDocument/2006/customXml" ds:itemID="{7F76447F-7B59-4845-ADA4-C3ED8FE935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13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24</vt:i4>
      </vt:variant>
    </vt:vector>
  </HeadingPairs>
  <TitlesOfParts>
    <vt:vector size="38" baseType="lpstr">
      <vt:lpstr>Introdução</vt:lpstr>
      <vt:lpstr>Criterios</vt:lpstr>
      <vt:lpstr>Populacao</vt:lpstr>
      <vt:lpstr>Market Share</vt:lpstr>
      <vt:lpstr>Custos</vt:lpstr>
      <vt:lpstr>Cenarios</vt:lpstr>
      <vt:lpstr>Resumo</vt:lpstr>
      <vt:lpstr>Planilha auxiliar custos</vt:lpstr>
      <vt:lpstr>custo por semana</vt:lpstr>
      <vt:lpstr>pop_saúde_suplementar</vt:lpstr>
      <vt:lpstr>controle_formulario</vt:lpstr>
      <vt:lpstr>Base AIO</vt:lpstr>
      <vt:lpstr>Planilha2</vt:lpstr>
      <vt:lpstr>Gráfico1</vt:lpstr>
      <vt:lpstr>c.total.a</vt:lpstr>
      <vt:lpstr>'Planilha auxiliar custos'!c.total.b</vt:lpstr>
      <vt:lpstr>c.total.b</vt:lpstr>
      <vt:lpstr>c.total.c</vt:lpstr>
      <vt:lpstr>c.total.d</vt:lpstr>
      <vt:lpstr>'Planilha auxiliar custos'!c.total.nova</vt:lpstr>
      <vt:lpstr>c.total.nova</vt:lpstr>
      <vt:lpstr>cen.alt1</vt:lpstr>
      <vt:lpstr>cen.alt10</vt:lpstr>
      <vt:lpstr>cen.alt2</vt:lpstr>
      <vt:lpstr>cen.alt3</vt:lpstr>
      <vt:lpstr>cen.alt4</vt:lpstr>
      <vt:lpstr>cen.alt5</vt:lpstr>
      <vt:lpstr>cen.alt6</vt:lpstr>
      <vt:lpstr>cen.alt7</vt:lpstr>
      <vt:lpstr>cen.alt8</vt:lpstr>
      <vt:lpstr>cen.alt9</vt:lpstr>
      <vt:lpstr>cen.ref</vt:lpstr>
      <vt:lpstr>OcultarRange</vt:lpstr>
      <vt:lpstr>trat.a</vt:lpstr>
      <vt:lpstr>trat.b</vt:lpstr>
      <vt:lpstr>trat.c</vt:lpstr>
      <vt:lpstr>trat.d</vt:lpstr>
      <vt:lpstr>trat.novo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Zirmmermann</dc:creator>
  <cp:lastModifiedBy>Patricia do Carmo Silva Parreira</cp:lastModifiedBy>
  <cp:lastPrinted>2025-02-20T18:13:10Z</cp:lastPrinted>
  <dcterms:created xsi:type="dcterms:W3CDTF">2019-05-31T13:46:15Z</dcterms:created>
  <dcterms:modified xsi:type="dcterms:W3CDTF">2025-02-24T16:36:50Z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0x01010062FF1DB93DCC6D428FCFFBDE556AD1A3</vt:lpwstr>
  </property>
  <property fmtid="{D5CDD505-2E9C-101B-9397-08002B2CF9AE}" pid="3" name="MediaServiceImageTags">
    <vt:lpwstr/>
  </property>
</Properties>
</file>